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0" yWindow="0" windowWidth="24000" windowHeight="9735" tabRatio="303"/>
  </bookViews>
  <sheets>
    <sheet name="ORCA" sheetId="1" r:id="rId1"/>
    <sheet name="CFF" sheetId="2" r:id="rId2"/>
  </sheets>
  <definedNames>
    <definedName name="_xlnm.Print_Area" localSheetId="0">ORCA!$A$1:$G$432</definedName>
    <definedName name="_xlnm.Print_Titles" localSheetId="0">ORCA!$1:$9</definedName>
  </definedNames>
  <calcPr calcId="145621"/>
</workbook>
</file>

<file path=xl/calcChain.xml><?xml version="1.0" encoding="utf-8"?>
<calcChain xmlns="http://schemas.openxmlformats.org/spreadsheetml/2006/main">
  <c r="B18" i="2" l="1"/>
  <c r="B17" i="2"/>
  <c r="B16" i="2"/>
  <c r="B15" i="2"/>
  <c r="B14" i="2"/>
  <c r="B13" i="2"/>
  <c r="B12" i="2"/>
  <c r="B11" i="2"/>
  <c r="B10" i="2"/>
  <c r="B9" i="2"/>
  <c r="B8" i="2"/>
  <c r="D89" i="1" l="1"/>
  <c r="D83" i="1"/>
  <c r="D77" i="1"/>
  <c r="D76" i="1"/>
  <c r="D37" i="1" l="1"/>
  <c r="D38" i="1"/>
  <c r="D99" i="1"/>
  <c r="D80" i="1" l="1"/>
  <c r="D60" i="1"/>
  <c r="D63" i="1"/>
  <c r="D84" i="1" l="1"/>
  <c r="J105" i="1"/>
  <c r="J104" i="1"/>
  <c r="J103" i="1"/>
  <c r="D103" i="1"/>
  <c r="D98" i="1"/>
  <c r="D95" i="1"/>
  <c r="D90" i="1"/>
  <c r="D79" i="1"/>
  <c r="D68" i="1"/>
  <c r="D69" i="1" s="1"/>
  <c r="D54" i="1"/>
  <c r="D53" i="1"/>
  <c r="D52" i="1" s="1"/>
  <c r="D45" i="1"/>
  <c r="D40" i="1"/>
  <c r="D36" i="1"/>
  <c r="D35" i="1"/>
  <c r="D34" i="1"/>
  <c r="D22" i="1"/>
  <c r="D19" i="1"/>
  <c r="D18" i="1"/>
  <c r="D78" i="1" s="1"/>
  <c r="J184" i="1" l="1"/>
  <c r="J172" i="1" l="1"/>
  <c r="N9" i="2" l="1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8" i="2"/>
  <c r="B25" i="2" l="1"/>
  <c r="B24" i="2"/>
  <c r="B23" i="2"/>
  <c r="B22" i="2"/>
  <c r="B21" i="2"/>
  <c r="B20" i="2"/>
  <c r="B19" i="2"/>
  <c r="J121" i="1"/>
  <c r="J189" i="1" l="1"/>
  <c r="J188" i="1"/>
  <c r="J187" i="1"/>
  <c r="J186" i="1"/>
  <c r="J185" i="1"/>
  <c r="J183" i="1"/>
  <c r="J171" i="1" l="1"/>
  <c r="J170" i="1"/>
  <c r="J169" i="1"/>
  <c r="J159" i="1"/>
  <c r="J158" i="1"/>
  <c r="J157" i="1"/>
  <c r="J156" i="1"/>
  <c r="J155" i="1"/>
  <c r="J182" i="1" l="1"/>
  <c r="J168" i="1" l="1"/>
  <c r="J181" i="1" l="1"/>
  <c r="J154" i="1" l="1"/>
  <c r="J106" i="1" l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42" i="1"/>
  <c r="J143" i="1"/>
  <c r="J145" i="1"/>
  <c r="J149" i="1"/>
  <c r="J150" i="1"/>
  <c r="J152" i="1"/>
  <c r="J153" i="1"/>
  <c r="J160" i="1"/>
  <c r="J161" i="1"/>
  <c r="J163" i="1"/>
  <c r="J164" i="1"/>
  <c r="J165" i="1"/>
  <c r="J166" i="1"/>
  <c r="J167" i="1"/>
  <c r="J173" i="1"/>
  <c r="J174" i="1"/>
  <c r="J175" i="1"/>
  <c r="J176" i="1"/>
  <c r="J177" i="1"/>
  <c r="J178" i="1"/>
  <c r="J179" i="1"/>
  <c r="J180" i="1"/>
  <c r="J194" i="1"/>
  <c r="J195" i="1"/>
  <c r="J214" i="1"/>
  <c r="J215" i="1"/>
  <c r="J216" i="1"/>
  <c r="J217" i="1"/>
  <c r="G2" i="1" l="1"/>
  <c r="F140" i="1" l="1"/>
  <c r="G140" i="1" s="1"/>
  <c r="F203" i="1"/>
  <c r="G203" i="1" s="1"/>
  <c r="F213" i="1"/>
  <c r="G213" i="1" s="1"/>
  <c r="F204" i="1"/>
  <c r="G204" i="1" s="1"/>
  <c r="F205" i="1"/>
  <c r="G205" i="1" s="1"/>
  <c r="F77" i="1"/>
  <c r="G77" i="1" s="1"/>
  <c r="F211" i="1"/>
  <c r="G211" i="1" s="1"/>
  <c r="F210" i="1"/>
  <c r="G210" i="1" s="1"/>
  <c r="F57" i="1"/>
  <c r="G57" i="1" s="1"/>
  <c r="F37" i="1"/>
  <c r="G37" i="1" s="1"/>
  <c r="F38" i="1"/>
  <c r="G38" i="1" s="1"/>
  <c r="F39" i="1"/>
  <c r="G39" i="1" s="1"/>
  <c r="F99" i="1"/>
  <c r="G99" i="1" s="1"/>
  <c r="F86" i="1"/>
  <c r="G86" i="1" s="1"/>
  <c r="F85" i="1"/>
  <c r="G85" i="1" s="1"/>
  <c r="F207" i="1"/>
  <c r="G207" i="1" s="1"/>
  <c r="F202" i="1"/>
  <c r="G202" i="1" s="1"/>
  <c r="F200" i="1"/>
  <c r="G200" i="1" s="1"/>
  <c r="F209" i="1"/>
  <c r="G209" i="1" s="1"/>
  <c r="F197" i="1"/>
  <c r="G197" i="1" s="1"/>
  <c r="F208" i="1"/>
  <c r="G208" i="1" s="1"/>
  <c r="F206" i="1"/>
  <c r="G206" i="1" s="1"/>
  <c r="F201" i="1"/>
  <c r="G201" i="1" s="1"/>
  <c r="F212" i="1"/>
  <c r="G212" i="1" s="1"/>
  <c r="F199" i="1"/>
  <c r="G199" i="1" s="1"/>
  <c r="F196" i="1"/>
  <c r="G196" i="1" s="1"/>
  <c r="F198" i="1"/>
  <c r="G198" i="1" s="1"/>
  <c r="F102" i="1"/>
  <c r="G102" i="1" s="1"/>
  <c r="F94" i="1"/>
  <c r="G94" i="1" s="1"/>
  <c r="F93" i="1"/>
  <c r="G93" i="1" s="1"/>
  <c r="F92" i="1"/>
  <c r="G92" i="1" s="1"/>
  <c r="F91" i="1"/>
  <c r="G91" i="1" s="1"/>
  <c r="F83" i="1"/>
  <c r="G83" i="1" s="1"/>
  <c r="F81" i="1"/>
  <c r="G81" i="1" s="1"/>
  <c r="F79" i="1"/>
  <c r="G79" i="1" s="1"/>
  <c r="F78" i="1"/>
  <c r="G78" i="1" s="1"/>
  <c r="F75" i="1"/>
  <c r="G75" i="1" s="1"/>
  <c r="F73" i="1"/>
  <c r="G73" i="1" s="1"/>
  <c r="F69" i="1"/>
  <c r="G69" i="1" s="1"/>
  <c r="F68" i="1"/>
  <c r="G68" i="1" s="1"/>
  <c r="F63" i="1"/>
  <c r="G63" i="1" s="1"/>
  <c r="F60" i="1"/>
  <c r="G60" i="1" s="1"/>
  <c r="G61" i="1" s="1"/>
  <c r="C13" i="2" s="1"/>
  <c r="K13" i="2" s="1"/>
  <c r="F54" i="1"/>
  <c r="G54" i="1" s="1"/>
  <c r="F53" i="1"/>
  <c r="G53" i="1" s="1"/>
  <c r="F52" i="1"/>
  <c r="G52" i="1" s="1"/>
  <c r="F51" i="1"/>
  <c r="G51" i="1" s="1"/>
  <c r="F49" i="1"/>
  <c r="G49" i="1" s="1"/>
  <c r="F47" i="1"/>
  <c r="G47" i="1" s="1"/>
  <c r="F45" i="1"/>
  <c r="G45" i="1" s="1"/>
  <c r="F30" i="1"/>
  <c r="G30" i="1" s="1"/>
  <c r="F28" i="1"/>
  <c r="G28" i="1" s="1"/>
  <c r="F26" i="1"/>
  <c r="G26" i="1" s="1"/>
  <c r="F24" i="1"/>
  <c r="G24" i="1" s="1"/>
  <c r="F19" i="1"/>
  <c r="G19" i="1" s="1"/>
  <c r="F104" i="1"/>
  <c r="G104" i="1" s="1"/>
  <c r="F103" i="1"/>
  <c r="G103" i="1" s="1"/>
  <c r="F98" i="1"/>
  <c r="G98" i="1" s="1"/>
  <c r="F95" i="1"/>
  <c r="G95" i="1" s="1"/>
  <c r="F90" i="1"/>
  <c r="G90" i="1" s="1"/>
  <c r="F89" i="1"/>
  <c r="G89" i="1" s="1"/>
  <c r="F82" i="1"/>
  <c r="G82" i="1" s="1"/>
  <c r="F80" i="1"/>
  <c r="G80" i="1" s="1"/>
  <c r="F76" i="1"/>
  <c r="G76" i="1" s="1"/>
  <c r="F74" i="1"/>
  <c r="G74" i="1" s="1"/>
  <c r="F72" i="1"/>
  <c r="G72" i="1" s="1"/>
  <c r="F67" i="1"/>
  <c r="G67" i="1" s="1"/>
  <c r="F66" i="1"/>
  <c r="G66" i="1" s="1"/>
  <c r="F65" i="1"/>
  <c r="G65" i="1" s="1"/>
  <c r="F64" i="1"/>
  <c r="G64" i="1" s="1"/>
  <c r="F56" i="1"/>
  <c r="G56" i="1" s="1"/>
  <c r="F55" i="1"/>
  <c r="G55" i="1" s="1"/>
  <c r="F50" i="1"/>
  <c r="G50" i="1" s="1"/>
  <c r="F48" i="1"/>
  <c r="G48" i="1" s="1"/>
  <c r="F46" i="1"/>
  <c r="G46" i="1" s="1"/>
  <c r="F44" i="1"/>
  <c r="G44" i="1" s="1"/>
  <c r="F43" i="1"/>
  <c r="G43" i="1" s="1"/>
  <c r="F40" i="1"/>
  <c r="G40" i="1" s="1"/>
  <c r="F36" i="1"/>
  <c r="G36" i="1" s="1"/>
  <c r="F35" i="1"/>
  <c r="G35" i="1" s="1"/>
  <c r="F34" i="1"/>
  <c r="G34" i="1" s="1"/>
  <c r="F31" i="1"/>
  <c r="G31" i="1" s="1"/>
  <c r="F29" i="1"/>
  <c r="G29" i="1" s="1"/>
  <c r="F27" i="1"/>
  <c r="G27" i="1" s="1"/>
  <c r="F25" i="1"/>
  <c r="G25" i="1" s="1"/>
  <c r="F23" i="1"/>
  <c r="G23" i="1" s="1"/>
  <c r="F15" i="1"/>
  <c r="G15" i="1" s="1"/>
  <c r="F14" i="1"/>
  <c r="G14" i="1" s="1"/>
  <c r="F13" i="1"/>
  <c r="G13" i="1" s="1"/>
  <c r="F12" i="1"/>
  <c r="G12" i="1" s="1"/>
  <c r="F11" i="1"/>
  <c r="G11" i="1" s="1"/>
  <c r="F22" i="1"/>
  <c r="G22" i="1" s="1"/>
  <c r="F18" i="1"/>
  <c r="G18" i="1" s="1"/>
  <c r="F84" i="1"/>
  <c r="G84" i="1" s="1"/>
  <c r="F184" i="1"/>
  <c r="G184" i="1" s="1"/>
  <c r="F172" i="1"/>
  <c r="G172" i="1" s="1"/>
  <c r="F185" i="1"/>
  <c r="G185" i="1" s="1"/>
  <c r="F134" i="1"/>
  <c r="G134" i="1" s="1"/>
  <c r="F139" i="1"/>
  <c r="G139" i="1" s="1"/>
  <c r="F138" i="1"/>
  <c r="G138" i="1" s="1"/>
  <c r="F136" i="1"/>
  <c r="G136" i="1" s="1"/>
  <c r="F129" i="1"/>
  <c r="G129" i="1" s="1"/>
  <c r="F137" i="1"/>
  <c r="G137" i="1" s="1"/>
  <c r="F132" i="1"/>
  <c r="G132" i="1" s="1"/>
  <c r="F123" i="1"/>
  <c r="G123" i="1" s="1"/>
  <c r="F188" i="1"/>
  <c r="G188" i="1" s="1"/>
  <c r="F186" i="1"/>
  <c r="G186" i="1" s="1"/>
  <c r="F189" i="1"/>
  <c r="G189" i="1" s="1"/>
  <c r="F183" i="1"/>
  <c r="G183" i="1" s="1"/>
  <c r="F133" i="1"/>
  <c r="G133" i="1" s="1"/>
  <c r="F131" i="1"/>
  <c r="G131" i="1" s="1"/>
  <c r="F135" i="1"/>
  <c r="G135" i="1" s="1"/>
  <c r="F130" i="1"/>
  <c r="G130" i="1" s="1"/>
  <c r="F128" i="1"/>
  <c r="G128" i="1" s="1"/>
  <c r="F108" i="1"/>
  <c r="G108" i="1" s="1"/>
  <c r="F112" i="1"/>
  <c r="G112" i="1" s="1"/>
  <c r="F116" i="1"/>
  <c r="G116" i="1" s="1"/>
  <c r="F120" i="1"/>
  <c r="G120" i="1" s="1"/>
  <c r="F125" i="1"/>
  <c r="G125" i="1" s="1"/>
  <c r="F124" i="1"/>
  <c r="G124" i="1" s="1"/>
  <c r="F109" i="1"/>
  <c r="G109" i="1" s="1"/>
  <c r="F113" i="1"/>
  <c r="G113" i="1" s="1"/>
  <c r="F117" i="1"/>
  <c r="G117" i="1" s="1"/>
  <c r="F121" i="1"/>
  <c r="G121" i="1" s="1"/>
  <c r="F126" i="1"/>
  <c r="G126" i="1" s="1"/>
  <c r="F110" i="1"/>
  <c r="G110" i="1" s="1"/>
  <c r="F114" i="1"/>
  <c r="G114" i="1" s="1"/>
  <c r="F118" i="1"/>
  <c r="G118" i="1" s="1"/>
  <c r="F122" i="1"/>
  <c r="G122" i="1" s="1"/>
  <c r="F127" i="1"/>
  <c r="G127" i="1" s="1"/>
  <c r="F111" i="1"/>
  <c r="G111" i="1" s="1"/>
  <c r="F115" i="1"/>
  <c r="G115" i="1" s="1"/>
  <c r="F119" i="1"/>
  <c r="G119" i="1" s="1"/>
  <c r="F193" i="1"/>
  <c r="G193" i="1" s="1"/>
  <c r="F190" i="1"/>
  <c r="G190" i="1" s="1"/>
  <c r="F192" i="1"/>
  <c r="G192" i="1" s="1"/>
  <c r="F170" i="1"/>
  <c r="G170" i="1" s="1"/>
  <c r="F191" i="1"/>
  <c r="G191" i="1" s="1"/>
  <c r="F187" i="1"/>
  <c r="G187" i="1" s="1"/>
  <c r="F171" i="1"/>
  <c r="G171" i="1" s="1"/>
  <c r="F169" i="1"/>
  <c r="G169" i="1" s="1"/>
  <c r="F159" i="1"/>
  <c r="G159" i="1" s="1"/>
  <c r="F155" i="1"/>
  <c r="G155" i="1" s="1"/>
  <c r="F156" i="1"/>
  <c r="G156" i="1" s="1"/>
  <c r="F157" i="1"/>
  <c r="G157" i="1" s="1"/>
  <c r="F158" i="1"/>
  <c r="G158" i="1" s="1"/>
  <c r="F148" i="1"/>
  <c r="G148" i="1" s="1"/>
  <c r="F145" i="1"/>
  <c r="G145" i="1" s="1"/>
  <c r="F182" i="1"/>
  <c r="G182" i="1" s="1"/>
  <c r="F146" i="1"/>
  <c r="G146" i="1" s="1"/>
  <c r="F147" i="1"/>
  <c r="G147" i="1" s="1"/>
  <c r="F168" i="1"/>
  <c r="G168" i="1" s="1"/>
  <c r="F151" i="1"/>
  <c r="G151" i="1" s="1"/>
  <c r="F107" i="1"/>
  <c r="G107" i="1" s="1"/>
  <c r="F162" i="1"/>
  <c r="G162" i="1" s="1"/>
  <c r="F144" i="1"/>
  <c r="G144" i="1" s="1"/>
  <c r="F181" i="1"/>
  <c r="G181" i="1" s="1"/>
  <c r="F154" i="1"/>
  <c r="G154" i="1" s="1"/>
  <c r="F235" i="1"/>
  <c r="G235" i="1" s="1"/>
  <c r="F234" i="1"/>
  <c r="G234" i="1" s="1"/>
  <c r="F233" i="1"/>
  <c r="G233" i="1" s="1"/>
  <c r="F232" i="1"/>
  <c r="G232" i="1" s="1"/>
  <c r="F231" i="1"/>
  <c r="G231" i="1" s="1"/>
  <c r="F227" i="1"/>
  <c r="G227" i="1" s="1"/>
  <c r="F230" i="1"/>
  <c r="G230" i="1" s="1"/>
  <c r="F226" i="1"/>
  <c r="G226" i="1" s="1"/>
  <c r="F229" i="1"/>
  <c r="G229" i="1" s="1"/>
  <c r="F228" i="1"/>
  <c r="G228" i="1" s="1"/>
  <c r="F222" i="1"/>
  <c r="G222" i="1" s="1"/>
  <c r="F221" i="1"/>
  <c r="G221" i="1" s="1"/>
  <c r="F163" i="1"/>
  <c r="G163" i="1" s="1"/>
  <c r="F216" i="1"/>
  <c r="G216" i="1" s="1"/>
  <c r="G217" i="1" s="1"/>
  <c r="C25" i="2" s="1"/>
  <c r="F224" i="1"/>
  <c r="G224" i="1" s="1"/>
  <c r="F225" i="1"/>
  <c r="G225" i="1" s="1"/>
  <c r="F180" i="1"/>
  <c r="F176" i="1"/>
  <c r="F177" i="1"/>
  <c r="F175" i="1"/>
  <c r="F166" i="1"/>
  <c r="G166" i="1" s="1"/>
  <c r="F164" i="1"/>
  <c r="G164" i="1" s="1"/>
  <c r="F152" i="1"/>
  <c r="G152" i="1" s="1"/>
  <c r="F178" i="1"/>
  <c r="F179" i="1"/>
  <c r="F167" i="1"/>
  <c r="G167" i="1" s="1"/>
  <c r="F165" i="1"/>
  <c r="G165" i="1" s="1"/>
  <c r="F153" i="1"/>
  <c r="G153" i="1" s="1"/>
  <c r="F223" i="1"/>
  <c r="G223" i="1" s="1"/>
  <c r="G214" i="1" l="1"/>
  <c r="C24" i="2" s="1"/>
  <c r="G141" i="1"/>
  <c r="G58" i="1"/>
  <c r="C12" i="2" s="1"/>
  <c r="K12" i="2" s="1"/>
  <c r="G41" i="1"/>
  <c r="C11" i="2" s="1"/>
  <c r="K11" i="2" s="1"/>
  <c r="G100" i="1"/>
  <c r="C17" i="2" s="1"/>
  <c r="K17" i="2" s="1"/>
  <c r="G20" i="1"/>
  <c r="C9" i="2" s="1"/>
  <c r="K9" i="2" s="1"/>
  <c r="G32" i="1"/>
  <c r="C10" i="2" s="1"/>
  <c r="K10" i="2" s="1"/>
  <c r="G96" i="1"/>
  <c r="C16" i="2" s="1"/>
  <c r="K16" i="2" s="1"/>
  <c r="G194" i="1"/>
  <c r="C23" i="2" s="1"/>
  <c r="C19" i="2"/>
  <c r="K19" i="2" s="1"/>
  <c r="G173" i="1"/>
  <c r="G70" i="1"/>
  <c r="C14" i="2" s="1"/>
  <c r="K14" i="2" s="1"/>
  <c r="G16" i="1"/>
  <c r="C8" i="2" s="1"/>
  <c r="K8" i="2" s="1"/>
  <c r="G149" i="1"/>
  <c r="C20" i="2" s="1"/>
  <c r="K20" i="2" s="1"/>
  <c r="G160" i="1"/>
  <c r="C21" i="2" s="1"/>
  <c r="K21" i="2" s="1"/>
  <c r="G87" i="1"/>
  <c r="C15" i="2" s="1"/>
  <c r="K15" i="2" s="1"/>
  <c r="G105" i="1"/>
  <c r="C18" i="2" s="1"/>
  <c r="K18" i="2" s="1"/>
  <c r="I25" i="2"/>
  <c r="K25" i="2"/>
  <c r="G236" i="1"/>
  <c r="G218" i="1" l="1"/>
  <c r="K24" i="2"/>
  <c r="I24" i="2"/>
  <c r="G175" i="1"/>
  <c r="G176" i="1" s="1"/>
  <c r="C22" i="2"/>
  <c r="C26" i="2" s="1"/>
  <c r="I23" i="2"/>
  <c r="G23" i="2"/>
  <c r="K23" i="2"/>
  <c r="E25" i="2"/>
  <c r="G24" i="2"/>
  <c r="E24" i="2"/>
  <c r="G25" i="2"/>
  <c r="E21" i="2"/>
  <c r="E23" i="2"/>
  <c r="I8" i="2"/>
  <c r="G21" i="2"/>
  <c r="I21" i="2"/>
  <c r="G12" i="2"/>
  <c r="I12" i="2"/>
  <c r="E12" i="2"/>
  <c r="M12" i="2" l="1"/>
  <c r="K22" i="2"/>
  <c r="K27" i="2" s="1"/>
  <c r="L27" i="2" s="1"/>
  <c r="I22" i="2"/>
  <c r="G22" i="2"/>
  <c r="M24" i="2"/>
  <c r="M23" i="2"/>
  <c r="M21" i="2"/>
  <c r="M25" i="2"/>
  <c r="G177" i="1"/>
  <c r="G178" i="1" s="1"/>
  <c r="G179" i="1" s="1"/>
  <c r="E8" i="2"/>
  <c r="G8" i="2"/>
  <c r="I19" i="2"/>
  <c r="E19" i="2"/>
  <c r="G19" i="2"/>
  <c r="I13" i="2"/>
  <c r="E13" i="2"/>
  <c r="G13" i="2"/>
  <c r="M8" i="2" l="1"/>
  <c r="M19" i="2"/>
  <c r="M22" i="2"/>
  <c r="M13" i="2"/>
  <c r="I15" i="2"/>
  <c r="G180" i="1"/>
  <c r="I17" i="2"/>
  <c r="E17" i="2"/>
  <c r="G17" i="2"/>
  <c r="G18" i="2"/>
  <c r="E18" i="2"/>
  <c r="I18" i="2"/>
  <c r="E16" i="2"/>
  <c r="G16" i="2"/>
  <c r="I16" i="2"/>
  <c r="M18" i="2" l="1"/>
  <c r="M16" i="2"/>
  <c r="M17" i="2"/>
  <c r="G15" i="2"/>
  <c r="E15" i="2"/>
  <c r="I20" i="2"/>
  <c r="E20" i="2"/>
  <c r="G20" i="2"/>
  <c r="G14" i="2"/>
  <c r="E14" i="2"/>
  <c r="I14" i="2"/>
  <c r="M20" i="2" l="1"/>
  <c r="M15" i="2"/>
  <c r="M14" i="2"/>
  <c r="G10" i="2"/>
  <c r="E10" i="2"/>
  <c r="I10" i="2"/>
  <c r="M10" i="2" l="1"/>
  <c r="E11" i="2"/>
  <c r="B4" i="2"/>
  <c r="A4" i="2"/>
  <c r="A2" i="2"/>
  <c r="A1" i="2"/>
  <c r="G11" i="2" l="1"/>
  <c r="I11" i="2"/>
  <c r="M11" i="2" l="1"/>
  <c r="D24" i="2"/>
  <c r="D25" i="2"/>
  <c r="D22" i="2"/>
  <c r="D23" i="2"/>
  <c r="I9" i="2"/>
  <c r="I27" i="2" s="1"/>
  <c r="G9" i="2"/>
  <c r="G27" i="2" s="1"/>
  <c r="H27" i="2" s="1"/>
  <c r="E9" i="2"/>
  <c r="D9" i="2"/>
  <c r="E27" i="2" l="1"/>
  <c r="F27" i="2" s="1"/>
  <c r="M9" i="2"/>
  <c r="M27" i="2" s="1"/>
  <c r="D12" i="2"/>
  <c r="D19" i="2"/>
  <c r="D14" i="2"/>
  <c r="D10" i="2"/>
  <c r="D13" i="2"/>
  <c r="D11" i="2"/>
  <c r="D16" i="2"/>
  <c r="D18" i="2"/>
  <c r="D8" i="2"/>
  <c r="D17" i="2"/>
  <c r="D15" i="2"/>
  <c r="D20" i="2"/>
  <c r="D21" i="2"/>
  <c r="J27" i="2"/>
  <c r="D26" i="2" l="1"/>
  <c r="N27" i="2"/>
  <c r="E28" i="2"/>
  <c r="G28" i="2" s="1"/>
  <c r="I28" i="2" s="1"/>
  <c r="K28" i="2" s="1"/>
  <c r="F28" i="2"/>
  <c r="H28" i="2" s="1"/>
  <c r="J28" i="2" s="1"/>
  <c r="L28" i="2" s="1"/>
</calcChain>
</file>

<file path=xl/sharedStrings.xml><?xml version="1.0" encoding="utf-8"?>
<sst xmlns="http://schemas.openxmlformats.org/spreadsheetml/2006/main" count="890" uniqueCount="571">
  <si>
    <t>ITEM</t>
  </si>
  <si>
    <t>1.2</t>
  </si>
  <si>
    <t>1.3</t>
  </si>
  <si>
    <t>m²</t>
  </si>
  <si>
    <t>m³</t>
  </si>
  <si>
    <t>SUPRA-ESTRUTURA</t>
  </si>
  <si>
    <t>IMPERMEABILIZAÇÕES</t>
  </si>
  <si>
    <t>Un</t>
  </si>
  <si>
    <t>COBERTURA E PROTEÇÕES</t>
  </si>
  <si>
    <t>m</t>
  </si>
  <si>
    <t>TOTAL</t>
  </si>
  <si>
    <t>DISCRIMINAÇÃO DOS SERVIÇOS</t>
  </si>
  <si>
    <t>UNID</t>
  </si>
  <si>
    <t>QUANT</t>
  </si>
  <si>
    <t xml:space="preserve">PROJETO : </t>
  </si>
  <si>
    <t>2.1</t>
  </si>
  <si>
    <t>5.1</t>
  </si>
  <si>
    <t>8.1</t>
  </si>
  <si>
    <t>9.1</t>
  </si>
  <si>
    <t>PREFEITURA MUNICIPAL DE TIMBÓ</t>
  </si>
  <si>
    <t>CRONOGRAMA FISICO E FINANCEIRO</t>
  </si>
  <si>
    <t>ETAPAS</t>
  </si>
  <si>
    <t>30 DIAS</t>
  </si>
  <si>
    <t>60 DIAS</t>
  </si>
  <si>
    <t>90 DIAS</t>
  </si>
  <si>
    <t>R$</t>
  </si>
  <si>
    <t>%</t>
  </si>
  <si>
    <t>VALOR ACUM. PARCIAL</t>
  </si>
  <si>
    <t>VALOR ACUM. GLOBAL</t>
  </si>
  <si>
    <t>VALOR TOTAL</t>
  </si>
  <si>
    <t>VALOR</t>
  </si>
  <si>
    <t>13.1</t>
  </si>
  <si>
    <t>1.1</t>
  </si>
  <si>
    <t>PREVENTIVO CONTRA INCÊNDIO</t>
  </si>
  <si>
    <t>PAREDES E PAINÉIS</t>
  </si>
  <si>
    <t>EXTINTOR PÓ QUÍMICO SECO 4kg</t>
  </si>
  <si>
    <t>TOTAL DA ETAPA</t>
  </si>
  <si>
    <t>TOTAL GERAL</t>
  </si>
  <si>
    <t>1º MÊS</t>
  </si>
  <si>
    <t>2º MÊS</t>
  </si>
  <si>
    <t>3º MÊS</t>
  </si>
  <si>
    <t>ORÇAMENTO</t>
  </si>
  <si>
    <t>unid</t>
  </si>
  <si>
    <t>DRENAGEM PLUVIAL</t>
  </si>
  <si>
    <t>13.2</t>
  </si>
  <si>
    <t xml:space="preserve">CUSTO UNIT. </t>
  </si>
  <si>
    <t>INST.  ELÉTRICAS</t>
  </si>
  <si>
    <t>8.2</t>
  </si>
  <si>
    <t>9.2</t>
  </si>
  <si>
    <t>11.1</t>
  </si>
  <si>
    <t>12.1</t>
  </si>
  <si>
    <t>13.3</t>
  </si>
  <si>
    <t>14.1</t>
  </si>
  <si>
    <t>14.2</t>
  </si>
  <si>
    <t>14.3</t>
  </si>
  <si>
    <t>3.1</t>
  </si>
  <si>
    <t>3.3</t>
  </si>
  <si>
    <t>4.1</t>
  </si>
  <si>
    <t>C16.50.05.001.005</t>
  </si>
  <si>
    <t xml:space="preserve"> C10.60.02.05.005 </t>
  </si>
  <si>
    <t>6.1</t>
  </si>
  <si>
    <t>6.2</t>
  </si>
  <si>
    <t>7.1</t>
  </si>
  <si>
    <t>7.2</t>
  </si>
  <si>
    <t>10.1</t>
  </si>
  <si>
    <t>12.2</t>
  </si>
  <si>
    <t>12.3</t>
  </si>
  <si>
    <t>PERFIL U ENRIJECIDO 75X40X15 CHAPA DE AÇO ESP. 3MM. "BARRA 6M" TERÇAS</t>
  </si>
  <si>
    <t>Und</t>
  </si>
  <si>
    <t>PERFIL U ENRIJECIDO 75X40X15 CHAPA DE AÇO ESP. 3MM. "BARRA 6M" CAIBRO</t>
  </si>
  <si>
    <t>TELHA SANDUÍCHE PRÉ-PINTADA 02 FACE COM ENCHIMENTO EM POLIURETANO DE 30MM, LARGURA DE 1030MM E ESPESURA DE 0,5MM</t>
  </si>
  <si>
    <t>P01 (2.30x1.80) - PORTA DE FERRO ENROLAR 2 FLS. - EIXO VERTICAL COR A DEFINIR</t>
  </si>
  <si>
    <t>HIDRÁULICO</t>
  </si>
  <si>
    <t>SANITÁRIO</t>
  </si>
  <si>
    <t>Te PVC 25 mm</t>
  </si>
  <si>
    <t>Joelho 90° PVC 25 mm</t>
  </si>
  <si>
    <t>13.4</t>
  </si>
  <si>
    <t>C16.50.05.125.005</t>
  </si>
  <si>
    <t>C16.50.05.100.023</t>
  </si>
  <si>
    <t>Cuba em aço inox</t>
  </si>
  <si>
    <t>Tanque em aço inox</t>
  </si>
  <si>
    <t>PINGADEIRA EM CONCRETO PARA PLATIBANDA</t>
  </si>
  <si>
    <t>Caixa d'água de 10000 litros instalada</t>
  </si>
  <si>
    <t>I16.20.05.05.0325</t>
  </si>
  <si>
    <t>Caixa de gordura com tubo de concreto de 1 metro</t>
  </si>
  <si>
    <t>Interruptor paralelo 2 teclas</t>
  </si>
  <si>
    <t>Fios de 2,5 mm²</t>
  </si>
  <si>
    <t>Fio de 6 mm²</t>
  </si>
  <si>
    <t>Interruptor com 1,2 e 3 teclas simples</t>
  </si>
  <si>
    <t>Dijuntor 10 A</t>
  </si>
  <si>
    <t>Dijuntor 15 A</t>
  </si>
  <si>
    <t>Dijuntor 30 A</t>
  </si>
  <si>
    <t>Eletroduto rígido 1"</t>
  </si>
  <si>
    <t>Eletrocalha FeGa barra de 300cm dim. 100X100mm</t>
  </si>
  <si>
    <t>LUMINÁRIA FLUORESCENTE  DE SOBREPOR 2x40, AUTO-BRILHO, COM ALETAS - COMPLETA</t>
  </si>
  <si>
    <t>C21.15.62.10.020</t>
  </si>
  <si>
    <t>Eletroduto de PVC flexivel corrugada 3/4"</t>
  </si>
  <si>
    <t>C21.15.43.10.009</t>
  </si>
  <si>
    <t>6.4</t>
  </si>
  <si>
    <t>1.4</t>
  </si>
  <si>
    <t>INFRAESTRUTURA</t>
  </si>
  <si>
    <t xml:space="preserve">PREÇO UNIT. </t>
  </si>
  <si>
    <t>PREÇO (CUSTO+BDI)</t>
  </si>
  <si>
    <t>BDI</t>
  </si>
  <si>
    <t>1.5</t>
  </si>
  <si>
    <t>MOVIMENTAÇÃO DE TERRA</t>
  </si>
  <si>
    <t>C35.25.35.15.030</t>
  </si>
  <si>
    <t>Laje maciça em concreto armado Fck=25 MPa h=10 cm</t>
  </si>
  <si>
    <t>C10.64.15.05.041</t>
  </si>
  <si>
    <t>J02 - (1.20x3.00) QUADRO COM TELA NYLON P/ MOSQUITO</t>
  </si>
  <si>
    <t>C10.64.20.20.005</t>
  </si>
  <si>
    <t>C10.36.25.17.005</t>
  </si>
  <si>
    <t>C10.36.24.05.007</t>
  </si>
  <si>
    <t>C16.05.15.10.020</t>
  </si>
  <si>
    <t>1.6</t>
  </si>
  <si>
    <t>C21.15.62.15.005</t>
  </si>
  <si>
    <t>tomada 2 p. com espelho</t>
  </si>
  <si>
    <t>C21.15.88.20.019</t>
  </si>
  <si>
    <t>C21.05.05.05.0325</t>
  </si>
  <si>
    <t>Caixa de distribuição de chapa galvanizada p/12 dijuntores trifásico</t>
  </si>
  <si>
    <t>C21.15.10.75.025</t>
  </si>
  <si>
    <t>C21.15.10.75.035</t>
  </si>
  <si>
    <t>C21.15.40.50.004</t>
  </si>
  <si>
    <t>C21.15.40.45.005</t>
  </si>
  <si>
    <t>C21.15.40.45.015</t>
  </si>
  <si>
    <t>C21.10.30.01.005</t>
  </si>
  <si>
    <t>C21.10.30.15.010</t>
  </si>
  <si>
    <t>C16.35.05.35.010</t>
  </si>
  <si>
    <t>C16.50.05.051.010</t>
  </si>
  <si>
    <t>Torneira metálica para tanque</t>
  </si>
  <si>
    <t>C16.05.15.25.010</t>
  </si>
  <si>
    <t>Tubo de PVC 25 mm</t>
  </si>
  <si>
    <t>C16.05.10.20.010</t>
  </si>
  <si>
    <t>C16.05.10.82.010</t>
  </si>
  <si>
    <t>Caixa de Inspeção em concreto 60 x 60 x 80cm com tampa em concreto pré-moldado e alça em aço</t>
  </si>
  <si>
    <t>C16.50.05.091.030</t>
  </si>
  <si>
    <t>Decomposição dos valores</t>
  </si>
  <si>
    <t>Fio de 10 mm²</t>
  </si>
  <si>
    <t>C21.15.10.75.040</t>
  </si>
  <si>
    <t>Tubo PVC 100 mm</t>
  </si>
  <si>
    <t>Joelho 45° PVC 100 mm</t>
  </si>
  <si>
    <t>Te PVC 100 mm</t>
  </si>
  <si>
    <t>Retirada do contrapiso existente</t>
  </si>
  <si>
    <t>I10.05.05.15.545</t>
  </si>
  <si>
    <t>Remoção e recolocação do paver</t>
  </si>
  <si>
    <t>Santo André Serralheria</t>
  </si>
  <si>
    <t>Balaroti Mat. Constr.</t>
  </si>
  <si>
    <t>Ralo linear 70cm com grelha branca PVC</t>
  </si>
  <si>
    <t>I21.20.05.05.0202</t>
  </si>
  <si>
    <t>PLACA "SAÍDA"  DE EMERGÊNCIA ALIMENTAÇÃO - AUTÔNOMO 1x9w (120x80x90mm)</t>
  </si>
  <si>
    <t>Item orçado abaixo</t>
  </si>
  <si>
    <t xml:space="preserve">Coifa sobre o fogão </t>
  </si>
  <si>
    <t>Placa de granito cinza Mundo Novo esp. 4 cm - bancada</t>
  </si>
  <si>
    <t>C16.25.10.34.025</t>
  </si>
  <si>
    <t>C16.25.10.74.015</t>
  </si>
  <si>
    <t>73801/001</t>
  </si>
  <si>
    <t>preço da loja</t>
  </si>
  <si>
    <t>Tela de ventilação</t>
  </si>
  <si>
    <t>9.3</t>
  </si>
  <si>
    <t>9.4</t>
  </si>
  <si>
    <t>15.1</t>
  </si>
  <si>
    <t>LIMPEZA FINAL E ENTREGA DA OBRA</t>
  </si>
  <si>
    <t>C10.32.10.05.010</t>
  </si>
  <si>
    <t>Soleira de granito cinza Mundo Novo esp. 4 cm
(espessura: 20mm / largura: 200mm)</t>
  </si>
  <si>
    <t>Marmoraria Laser</t>
  </si>
  <si>
    <t>C10.64.15.25.010</t>
  </si>
  <si>
    <t>J01 - (1.20x3.00) JANELA ALUMINIO ANODIZADO BRONZE TIPO VENEZIANA - ABRIR  2 FL.</t>
  </si>
  <si>
    <t>P02 (2.30x1.00) - PORTA ALUMINIO ANODIZADO BRONZE TIPO VENEZIANA - ABRIR, EIXO VERTICAL.</t>
  </si>
  <si>
    <t>P04 (1.00x2.10) - PORTA ALUMÍNIO ANODIZADO BRONZE TIPO VENEZIANA - ABRIR 1 FL.</t>
  </si>
  <si>
    <t>P03 (1.40x1.80) - PORTA ALUMINIO ANODIZADO BRONZE TIPO VENEZIANA - ABRIR 2 FL.</t>
  </si>
  <si>
    <t>C16.10.05.66.015</t>
  </si>
  <si>
    <t xml:space="preserve">Registro de gaveta com canopla metálica cromada (25 mm)  </t>
  </si>
  <si>
    <t>SISTEMA DE GÁS</t>
  </si>
  <si>
    <t>Bluminox</t>
  </si>
  <si>
    <t>ITENS SUPRIMIDOS</t>
  </si>
  <si>
    <t>TOTAL SUPRIMIDO</t>
  </si>
  <si>
    <t>13.5</t>
  </si>
  <si>
    <t>14.4</t>
  </si>
  <si>
    <t>14.5</t>
  </si>
  <si>
    <t>14.6</t>
  </si>
  <si>
    <t>3.4</t>
  </si>
  <si>
    <t>5.2</t>
  </si>
  <si>
    <t>5.3</t>
  </si>
  <si>
    <t>5.4</t>
  </si>
  <si>
    <t>9.5</t>
  </si>
  <si>
    <t>9.6</t>
  </si>
  <si>
    <t>9.7</t>
  </si>
  <si>
    <t>12.4</t>
  </si>
  <si>
    <t>12.5</t>
  </si>
  <si>
    <t>13.6</t>
  </si>
  <si>
    <t>14.7</t>
  </si>
  <si>
    <t>14.8</t>
  </si>
  <si>
    <t>14.9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</si>
  <si>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</si>
  <si>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</si>
  <si>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</si>
  <si>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</si>
  <si>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</si>
  <si>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</si>
  <si>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</si>
  <si>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</si>
  <si>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</si>
  <si>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76447/001</t>
  </si>
  <si>
    <t>PISO CIMENTADO TRACO 1:3 (CIMENTO E AREIA) ACABAMENTO LISO ESPESSURA 2,5 CM PREPARO MECANICO DA ARGAMASSA</t>
  </si>
  <si>
    <t>Vergas e contra vergas em concreto armado h=15cm com treliça. (0,15x0,15x7,5)</t>
  </si>
  <si>
    <t>Aço CA-50 8.0mm = 0,395Kg/m</t>
  </si>
  <si>
    <t>Utilizar afastamento de 15cm e altura da dobra de 15cm</t>
  </si>
  <si>
    <r>
      <rPr>
        <b/>
        <i/>
        <sz val="10"/>
        <rFont val="Arial"/>
        <family val="2"/>
      </rPr>
      <t>SAPATA</t>
    </r>
    <r>
      <rPr>
        <i/>
        <sz val="10"/>
        <rFont val="Arial"/>
        <family val="2"/>
      </rPr>
      <t xml:space="preserve"> DE 1,10X1,10X0,30</t>
    </r>
  </si>
  <si>
    <t>1,10 / 0,15 = 9und 1,40m</t>
  </si>
  <si>
    <t>8.3</t>
  </si>
  <si>
    <t>74077/002</t>
  </si>
  <si>
    <t>*1</t>
  </si>
  <si>
    <t xml:space="preserve"> item orçado abaixo</t>
  </si>
  <si>
    <t xml:space="preserve">LOCAL: </t>
  </si>
  <si>
    <t>73753/001</t>
  </si>
  <si>
    <t>Aço CA-50 10.0mm = 0,617Kg/m</t>
  </si>
  <si>
    <t>*2</t>
  </si>
  <si>
    <t>CINTA DE AMARRAÇÃO DE ALVENARIA MOLDADA IN LOCO EM CONCRETO  Fck=25MPa (0,15x0,30)</t>
  </si>
  <si>
    <t>DEMOLICAO DE PISO DE ALTA RESISTENCIA</t>
  </si>
  <si>
    <t>REMOCAO DE RODAPE CERAMICO</t>
  </si>
  <si>
    <t>ESCAVAÇÃO MANUAL DE VALAS</t>
  </si>
  <si>
    <t>*3</t>
  </si>
  <si>
    <t>Utilizar afastamento de 15cm para estribos</t>
  </si>
  <si>
    <t>LOCACAO DE OBRA</t>
  </si>
  <si>
    <t>74209/001</t>
  </si>
  <si>
    <t>74220/001</t>
  </si>
  <si>
    <t>TRANSPORTE  DE ENTULHOS</t>
  </si>
  <si>
    <t xml:space="preserve"> SAPATA EM CONCRETO ARMADO FCK=25 MPA (1,10X1,10X0,30)</t>
  </si>
  <si>
    <t>PILAR REDONDO DIÂMETRO 0,20M E ALTURA 3,0M</t>
  </si>
  <si>
    <t>73899/001</t>
  </si>
  <si>
    <t>REVESTIMENTO CERÂMICO PARA PAREDES INTERNAS COM PLACAS TIPO GRÊS OU SEMI-GRÊS DE DIMENSÕES 25X35 CM APLICADAS EM AMBIENTES DE ÁREA MAIOR QUE 5 M² NA ALTURA INTEIRA DAS PAREDES (COZINHA)</t>
  </si>
  <si>
    <t>PEITORIL EM MARMORE BRANCO, LARGURA DE 25CM, ASSENTADO COM ARGAMASSA TRACO 1:3 (CIMENTO E AREIA MEDIA), PREPARO MANUAL DA ARGAMASSA</t>
  </si>
  <si>
    <t>5.5</t>
  </si>
  <si>
    <t>ESQUADRIAS</t>
  </si>
  <si>
    <t>7.3</t>
  </si>
  <si>
    <t>LIMPEZA FINAL DA OBRA</t>
  </si>
  <si>
    <t>TAPUME DE CHAPA DE MADEIRA COMPENSADA, E= 6MM, COM PINTURA A CAL E REAPROVEITAMENTO DE 2X ALTURA DE 2,20M</t>
  </si>
  <si>
    <t>Rua Aracaju - Bairro Centro</t>
  </si>
  <si>
    <t>PLACA DE OBRA</t>
  </si>
  <si>
    <t>SERVIÇOS INICIAIS</t>
  </si>
  <si>
    <t>DESPESAS INICIAIS</t>
  </si>
  <si>
    <t>Vb</t>
  </si>
  <si>
    <t>ALVENARIA DE VEDAÇÃO DE BLOCOS CERÂMICOS FURADOS NA VERTICAL, E=14CM</t>
  </si>
  <si>
    <t>EMBOÇO OU MASSA ÚNICA EM ARGAMASSA TRAÇO 1:2:8, PREPARO MANUAL,  ESPESSURA DE 25 MM</t>
  </si>
  <si>
    <t>REVESTIMENTO CERÂMICO PARA PISO COM PLACAS TIPO GRÊS DE DIMENSÕES 35X35 CM</t>
  </si>
  <si>
    <t>CHAPISCO APLICADO EM ALVENARIAS E ESTRUTURAS DE CONCRETO INTERNAS, TRAÇO 1:3</t>
  </si>
  <si>
    <t>PLACA DE OBRA (2,00mx1,50m)</t>
  </si>
  <si>
    <t>*4</t>
  </si>
  <si>
    <t>RETIRADAS / DEMOLICÕES</t>
  </si>
  <si>
    <t>ALVENARIA DE TIJOLO A VISTA COM ARGAMASSA</t>
  </si>
  <si>
    <t>ADAPTADOR PVC ROSCÁVEL C/ FLANGES E ANEL DE VEDAÇÃO P/ CAIXA DÁGUA Ø 25MM X 3/4"</t>
  </si>
  <si>
    <t>4.3</t>
  </si>
  <si>
    <t>4.4</t>
  </si>
  <si>
    <t>4.5</t>
  </si>
  <si>
    <t>5.6</t>
  </si>
  <si>
    <t>8.5</t>
  </si>
  <si>
    <t>8.6</t>
  </si>
  <si>
    <t>8.7</t>
  </si>
  <si>
    <t>EXTINTOR INCENDIO TP PO QUIMICO 4KG FORNECIMENTO E COLOCACAO</t>
  </si>
  <si>
    <t>73775/001</t>
  </si>
  <si>
    <t>74051/002</t>
  </si>
  <si>
    <t>74166/001</t>
  </si>
  <si>
    <t>EQUIPAMENTOS E APARELHOS</t>
  </si>
  <si>
    <t>FIO EPR 50,0 mm2</t>
  </si>
  <si>
    <t>CONDUTOR DE RAMAL DE LIGAÇÃO CABO MULTIPLEXADO EM ALUMÍNIO 70 MM</t>
  </si>
  <si>
    <t>DISJUNTOR TRIFÁSICO 125A</t>
  </si>
  <si>
    <t>C10.76.30.20.011</t>
  </si>
  <si>
    <t>PINTURA</t>
  </si>
  <si>
    <t>VERNIZ SINTETICO BRILHANTE EM CONCRETO OU TIJOLO, DUAS DEMAOS</t>
  </si>
  <si>
    <t>TAPUME DE CHAPA DE MADEIRA COMPENSADA</t>
  </si>
  <si>
    <t>VIGAS BALDRAME EM CONCRETO ARMADO FCK=25 MPA NAS DIMENSÕES 15X40CM</t>
  </si>
  <si>
    <t xml:space="preserve">VERGA MOLDADA IN LOCO EM CONCRETO PARA PORTAS </t>
  </si>
  <si>
    <t>VERGA MOLDADA IN LOCO EM CONCRETO PARA JANELAS</t>
  </si>
  <si>
    <t>CONTRAVERGA MOLDADA IN LOCO EM CONCRETO</t>
  </si>
  <si>
    <t>74234/001</t>
  </si>
  <si>
    <t>15.2</t>
  </si>
  <si>
    <t>15.3</t>
  </si>
  <si>
    <t>15.4</t>
  </si>
  <si>
    <t>15.5</t>
  </si>
  <si>
    <t>15.6</t>
  </si>
  <si>
    <t>73953/006</t>
  </si>
  <si>
    <t>ILUMINAÇÃO DE EMERGÊNCIA AUTÔNOMA BI-VOLT, 30 LEDS</t>
  </si>
  <si>
    <t>BLOCO DE ILUMINAÇÃO DE EMERGÊNCIA AUTÔNOMA 2X55W COM BATERIA, AUTONOMIA DE 3 HORAS</t>
  </si>
  <si>
    <t>BARRA DE APOIO RETA DE COMPRIMENTO DE 80CM PARA PAREDE OU PORTA, PINTURA EPOXI (PCD)</t>
  </si>
  <si>
    <t>RALO SECO PVC CÔNICO 100 X 40 MM C/GRELHA REDONDA BRANCA</t>
  </si>
  <si>
    <t>RALO SIFONADO PVC CILÍNDRICO 100 X 40 MM C/GRELHA REDONDA BRANCA</t>
  </si>
  <si>
    <t>MANGUEIRA P/ GAS 1/2" C/ 1M</t>
  </si>
  <si>
    <t>REGISTRO OU REGULADOR DE GAS COZINHA, VAZAO DE 2 KG/H, 2,8 KPA</t>
  </si>
  <si>
    <t>IMPERMEABILIZACAO DE SUPERFICIE COM MANTA ASFALTICA (LAJE E VIGAS BALDRAME)</t>
  </si>
  <si>
    <t>TUBO PVC 75 MM</t>
  </si>
  <si>
    <t>11.2</t>
  </si>
  <si>
    <t>12.6</t>
  </si>
  <si>
    <t>12.8</t>
  </si>
  <si>
    <t>12.9</t>
  </si>
  <si>
    <t>12.10</t>
  </si>
  <si>
    <t>12.12</t>
  </si>
  <si>
    <t>12.13</t>
  </si>
  <si>
    <t>12.14</t>
  </si>
  <si>
    <t>12.15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</si>
  <si>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</si>
  <si>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</si>
  <si>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</si>
  <si>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</si>
  <si>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</si>
  <si>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</si>
  <si>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</si>
  <si>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</si>
  <si>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</si>
  <si>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</si>
  <si>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</si>
  <si>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</si>
  <si>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17.1</t>
  </si>
  <si>
    <t>17.2</t>
  </si>
  <si>
    <t>17.3</t>
  </si>
  <si>
    <t>18.1</t>
  </si>
  <si>
    <t>CAIXA DE MEDIÇÃO EM POLICARBONATO PARA MEDIDOR POLIFASICO, PADRÃO CELESC</t>
  </si>
  <si>
    <t>DISJUNTOR MONOPOLAR TIPO DIN 16A</t>
  </si>
  <si>
    <t>DISJUNTOR MONOPOLAR TIPO DIN DE 20A</t>
  </si>
  <si>
    <t>DISJUNTOR MONOPOLAR TIPO DIN DE 25A</t>
  </si>
  <si>
    <t>FIO DE COBRE 10 MM2</t>
  </si>
  <si>
    <t>FIO DE COBRE 2,5 MM2</t>
  </si>
  <si>
    <t>FIO DE COBRE 6,0 MM2</t>
  </si>
  <si>
    <t>LUMINARIA TIPO CALHA, DE SOBREPOR E LAMPADA FLUORESCENTE 2X40W</t>
  </si>
  <si>
    <t>TOMADA MÉDIA DE EMBUTIR (1 MÓDULO), 2P+T 10 A</t>
  </si>
  <si>
    <t>TOMADA ALTA DE EMBUTIR (1 MÓDULO), 2P+T 20 A</t>
  </si>
  <si>
    <t>BLOCO AUTÔNOMO COM INSCRIÇÃO "SAÍDA" COM UMA LÂMPADA COMPACTA DE 5W</t>
  </si>
  <si>
    <t>VASO SANITÁRIO SIFONADO COM CAIXA ACOPLADA LOUÇA BRANCA</t>
  </si>
  <si>
    <t>CHUVEIRO ELETRICO COMUM CORPO PLASTICO TIPO DUCHA</t>
  </si>
  <si>
    <t>LAVATÓRIO LOUÇA BRANCA COM COLUNA, *44 X 35,5* CM</t>
  </si>
  <si>
    <t>LAVATÓRIO LOUÇA BRANCA SUSPENSO, 29,5 X 39CM</t>
  </si>
  <si>
    <t>TORNEIRA CROMADA DE MESA, 1/2" OU 3/4", PARA LAVATÓRIO</t>
  </si>
  <si>
    <t>TORNEIRA CROMADA LONGA, DE PAREDE, 1/2" OU 3/4", PARA PIA DE COZINHA</t>
  </si>
  <si>
    <t>MICTORIO SIFONADO DE LOUCA BRANCA COM PERTENCES</t>
  </si>
  <si>
    <t>TANQUE DE MÁRMORE SINTÉTICO SUSPENSO, 22L OU EQUIVALENTE</t>
  </si>
  <si>
    <t>REGISTRO PRESSÃO 1/2" C/ CANOPLA ACAB CROMADO SIMPLES</t>
  </si>
  <si>
    <t>REGISTRO GAVETA 1/2" C/ CANOPLA ACAB CROMADO SIMPLES</t>
  </si>
  <si>
    <t>CAIXA DE INSPEÇÃO EM CONCRETO PRÉ-MOLDADO DN 60CM COM TAMPA H= 60CM</t>
  </si>
  <si>
    <t>CAIXA DE GORDURA SIMPLES EM CONCRETO PRE-MOLDADO DN 40MM COM TAMPA</t>
  </si>
  <si>
    <t>TUBO PVC, SERIE NORMAL, ESGOTO PREDIAL, DN 100 MM</t>
  </si>
  <si>
    <t>JOELHO 90 GRAUS, PVC, SERIE NORMAL, ESGOTO PREDIAL, DN 50 MM, JUNTA ELÁSTICA</t>
  </si>
  <si>
    <t>CURVA CURTA 90 GRAUS, PVC, SERIE NORMAL, ESGOTO PREDIAL, DN 50 MM, JUNTA ELÁSTICA</t>
  </si>
  <si>
    <t>CURVA CURTA 90 GRAUS, PVC, SERIE NORMAL, ESGOTO PREDIAL, DN 100 MM, JUNTA ELÁSTICA</t>
  </si>
  <si>
    <t>JUNÇÃO SIMPLES, PVC, SERIE NORMAL, ESGOTO PREDIAL, DN 100 X 100 MM, JUNTA ELÁSTICA</t>
  </si>
  <si>
    <t>JUNÇÃO SIMPLES, PVC, SERIE NORMAL, ESGOTO PREDIAL, DN 50 X 50 MM, JUNTA ELÁSTICA</t>
  </si>
  <si>
    <t>TUBO PVC, SERIE NORMAL, ESGOTO PREDIAL, DN 50 MM</t>
  </si>
  <si>
    <t>SISTEMA DE TRATAMENTO DE ESGOTO COM REATOR E FILTRO ANAEROBIO (TUCUNARE 1600)</t>
  </si>
  <si>
    <t>SECRETARIA DE PLANEJAMENTO, TRÂNSITO, MEIO AMBIENTE, INDÚSTRIA, COMÉRCIO E SERVIÇOS</t>
  </si>
  <si>
    <t>EMBOÇO, PARA RECEBIMENTO DE CERÂMICA, EM ARGAMASSA  ESP. DE 20MM (PAREDES INTERNAS)</t>
  </si>
  <si>
    <t>4º MÊS</t>
  </si>
  <si>
    <t>120 DIAS</t>
  </si>
  <si>
    <t>ELETRODUTO FLEXÍVEL CORRUGADO, PVC, DN 25 MM (3/4") INSTALADO EM PAREDE</t>
  </si>
  <si>
    <t>12.17</t>
  </si>
  <si>
    <t>12.18</t>
  </si>
  <si>
    <t>BARRACÃO DE OBRA</t>
  </si>
  <si>
    <t>2.2</t>
  </si>
  <si>
    <t>DEMOLICAO DE ALVENARIA DE TIJOLOS MACICOS S/REAPROVEITAMENTO</t>
  </si>
  <si>
    <t>ÁREA TOTAL = 160,63m²</t>
  </si>
  <si>
    <t>00039795</t>
  </si>
  <si>
    <r>
      <t>QUADRO DE DISTRIBUICAO DE ENERGIA P/ 8 DISJUNTORES TERMOMAGNETICOS MONOPOLARES</t>
    </r>
    <r>
      <rPr>
        <sz val="8"/>
        <color rgb="FFFF0000"/>
        <rFont val="Arial"/>
        <family val="2"/>
      </rPr>
      <t/>
    </r>
  </si>
  <si>
    <t>LAMPADA FLUORESCENTE ESPIRAL BRANCA 65 W, BASE E27 (127/220 V)</t>
  </si>
  <si>
    <t>00038192</t>
  </si>
  <si>
    <t>00038769</t>
  </si>
  <si>
    <t>LUMINÁRIA ARANDELA TIPO MEIA-LUA COM VIDRO FOSCO</t>
  </si>
  <si>
    <t>INTERRUPTOR SIMPLES (1 MÓDULO) COM TOMADA 2P+T</t>
  </si>
  <si>
    <t>CAIXA OCTOGONAL PARA LUZ INSTALADA EM LAJE</t>
  </si>
  <si>
    <t>TOMADA MÉDIA DE EMBUTIR (1 MÓDULO), 2P+T 20 A</t>
  </si>
  <si>
    <t>12.7</t>
  </si>
  <si>
    <t>12.11</t>
  </si>
  <si>
    <t>12.16</t>
  </si>
  <si>
    <t>00034640</t>
  </si>
  <si>
    <t>CAIXA D'AGUA EM POLIETILENO 2000 LITROS, COM TAMPA</t>
  </si>
  <si>
    <t>INSTALAÇÃO DE TUBO PVC 25MM</t>
  </si>
  <si>
    <t>00036081</t>
  </si>
  <si>
    <t>MADEIRAMENTO</t>
  </si>
  <si>
    <t>ORÇAMENTO 1 (EM ANEXO)</t>
  </si>
  <si>
    <t>VOLUME TOTAL MADEIRA= 7,86M³</t>
  </si>
  <si>
    <t>CUSTO TOTAL= R$ 40562,00</t>
  </si>
  <si>
    <t>CUSTO MÉDIO M³= R$ 5160,55</t>
  </si>
  <si>
    <t>ORÇAMENTO 2 (EM ANEXO)</t>
  </si>
  <si>
    <t>CUSTO TOTAL= R$ 30762,45</t>
  </si>
  <si>
    <t>CUSTO MÉDIO M³= R$ 3913,79</t>
  </si>
  <si>
    <t>ORÇAMENTO 3 (EM ANEXO)</t>
  </si>
  <si>
    <t>CUSTO TOTAL= R$ 35890,00</t>
  </si>
  <si>
    <t>CUSTO MÉDIO M³= R$ 4563,15</t>
  </si>
  <si>
    <r>
      <rPr>
        <b/>
        <i/>
        <sz val="10"/>
        <rFont val="Arial"/>
        <family val="2"/>
      </rPr>
      <t xml:space="preserve">MADEIRAMENTO DECK </t>
    </r>
    <r>
      <rPr>
        <i/>
        <sz val="10"/>
        <rFont val="Arial"/>
        <family val="2"/>
      </rPr>
      <t xml:space="preserve"> </t>
    </r>
  </si>
  <si>
    <t>TEMPO CARPINTEIRO= 1,5 h/m²</t>
  </si>
  <si>
    <t>TEMPO AJUDANTE CARPINTEIRO= 1,5 h/m²</t>
  </si>
  <si>
    <t>PREGOS 18X27= 0,26 Kg/m²</t>
  </si>
  <si>
    <t>CUSTO MÉDIO MADEIRA ITAÚBA= R$4545,83</t>
  </si>
  <si>
    <r>
      <rPr>
        <b/>
        <i/>
        <sz val="10"/>
        <rFont val="Arial"/>
        <family val="2"/>
      </rPr>
      <t>MADEIRAMENTO PERGOLADO</t>
    </r>
    <r>
      <rPr>
        <i/>
        <sz val="10"/>
        <rFont val="Arial"/>
        <family val="2"/>
      </rPr>
      <t xml:space="preserve"> </t>
    </r>
  </si>
  <si>
    <t>TEMPO CARPINTEIRO= 0,9 h/m²</t>
  </si>
  <si>
    <t>TEMPO AJUDANTE CARPINTEIRO= 0,9 h/m²</t>
  </si>
  <si>
    <t>PREGOS 18X27= 0,12 Kg/m²</t>
  </si>
  <si>
    <t>VOLUME TABUAS DECK= 300und*0,10*0,025*2,5= 1,87M³</t>
  </si>
  <si>
    <t>ÁREA TOTAL DE DECK= 61,13 M²</t>
  </si>
  <si>
    <t>BARROTES ESTRUTURA= 11und*0,20*0,08*5= 0,88M³</t>
  </si>
  <si>
    <r>
      <t xml:space="preserve">Custo Tabuas Deck= (1,87*4545,83)/61,13= </t>
    </r>
    <r>
      <rPr>
        <b/>
        <i/>
        <sz val="10"/>
        <rFont val="Arial"/>
        <family val="2"/>
      </rPr>
      <t>R$139,05/m²</t>
    </r>
  </si>
  <si>
    <r>
      <t xml:space="preserve">Custo Barrotes Estrutura= (0,88*4545,83)/61,13= </t>
    </r>
    <r>
      <rPr>
        <b/>
        <i/>
        <sz val="10"/>
        <rFont val="Arial"/>
        <family val="2"/>
      </rPr>
      <t>R$65,43/m²</t>
    </r>
  </si>
  <si>
    <t>VOLUME CAIBROS= (11und*0,06*0,12*3,5)+(4und*0,06*0,12*4)= 0,39M³</t>
  </si>
  <si>
    <r>
      <t xml:space="preserve">Custo Caibros= (0,39*4545,83)/26,25= </t>
    </r>
    <r>
      <rPr>
        <b/>
        <i/>
        <sz val="10"/>
        <rFont val="Arial"/>
        <family val="2"/>
      </rPr>
      <t>R$67,53/m²</t>
    </r>
  </si>
  <si>
    <t>VOLUME CAIBROS 12x12 = 4und*0,12*0,12*2,30= 0,13M³</t>
  </si>
  <si>
    <r>
      <t xml:space="preserve">Custo Caibros 12x12= (0,13*4545,83)/26,25= </t>
    </r>
    <r>
      <rPr>
        <b/>
        <i/>
        <sz val="10"/>
        <rFont val="Arial"/>
        <family val="2"/>
      </rPr>
      <t>R$15,51/m²</t>
    </r>
  </si>
  <si>
    <r>
      <t xml:space="preserve">VALOR MÉDIO= </t>
    </r>
    <r>
      <rPr>
        <i/>
        <sz val="10"/>
        <rFont val="Arial"/>
        <family val="2"/>
      </rPr>
      <t>R$ 5160,55 + R$ 3913,79 + R$ 4563,15</t>
    </r>
    <r>
      <rPr>
        <b/>
        <i/>
        <sz val="10"/>
        <rFont val="Arial"/>
        <family val="2"/>
      </rPr>
      <t xml:space="preserve"> = R$ 4545,83/m³</t>
    </r>
  </si>
  <si>
    <t>*6</t>
  </si>
  <si>
    <t>TELHAMENTO EM TELHA GERMÂNICA</t>
  </si>
  <si>
    <t>ÁREA TOTAL TELHADO= 62,82M²</t>
  </si>
  <si>
    <t>QUANTIDADE DE TELHAS= 2520 und</t>
  </si>
  <si>
    <t>CUSTO TOTAL= R$ 2744,28</t>
  </si>
  <si>
    <t>QUANTIDADE CUMEEIRA= 30 und</t>
  </si>
  <si>
    <t>RENDIMENTO CUMEEIRA = 3und/m</t>
  </si>
  <si>
    <t>CUSTO CUMEEIRA= R$ 72,00</t>
  </si>
  <si>
    <r>
      <t xml:space="preserve">CUSTO DO M/L CUMEEIRA= = </t>
    </r>
    <r>
      <rPr>
        <b/>
        <i/>
        <sz val="10"/>
        <rFont val="Arial"/>
        <family val="2"/>
      </rPr>
      <t>R$ 7,20/m</t>
    </r>
  </si>
  <si>
    <r>
      <t xml:space="preserve">CUSTO DO M² TELHA= 2744,28/62,82= </t>
    </r>
    <r>
      <rPr>
        <b/>
        <i/>
        <sz val="10"/>
        <rFont val="Arial"/>
        <family val="2"/>
      </rPr>
      <t>R$ 43,68/m²</t>
    </r>
  </si>
  <si>
    <t>CUSTO TOTAL= R$ 2624,81</t>
  </si>
  <si>
    <t>CUSTO CUMEEIRA= R$ 122,70</t>
  </si>
  <si>
    <r>
      <t xml:space="preserve">CUSTO DO M/L CUMEEIRA= 122,70/10= </t>
    </r>
    <r>
      <rPr>
        <b/>
        <i/>
        <sz val="10"/>
        <rFont val="Arial"/>
        <family val="2"/>
      </rPr>
      <t>R$ 12,27/m</t>
    </r>
  </si>
  <si>
    <r>
      <t xml:space="preserve">CUSTO DO M² TELHA= 2624,81/62,82= </t>
    </r>
    <r>
      <rPr>
        <b/>
        <i/>
        <sz val="10"/>
        <rFont val="Arial"/>
        <family val="2"/>
      </rPr>
      <t>R$ 41,78/m²</t>
    </r>
  </si>
  <si>
    <t>MÉDIA VALORES TELHA = (R$ 43,68 + R$ 41,78) /2= Valor médio R$ 42,73 /m²</t>
  </si>
  <si>
    <t>MÉDIA VALORES CUMEEIRA = R$ 7,20 + R$ 12,27 /2= Valor médio R$ 9,73 /m</t>
  </si>
  <si>
    <r>
      <rPr>
        <b/>
        <i/>
        <sz val="10"/>
        <rFont val="Arial"/>
        <family val="2"/>
      </rPr>
      <t xml:space="preserve">TELHAMENTO </t>
    </r>
    <r>
      <rPr>
        <i/>
        <sz val="10"/>
        <rFont val="Arial"/>
        <family val="2"/>
      </rPr>
      <t xml:space="preserve"> </t>
    </r>
  </si>
  <si>
    <t>TEMPO TELHADISTA= 0,13 h/m²</t>
  </si>
  <si>
    <t>ÁREA TOTAL DE TELHADO = 62,82 m²</t>
  </si>
  <si>
    <t>RENDIMENTO DA TELHA = 40 und/m²</t>
  </si>
  <si>
    <t>CUSTO MÉDIOTELHA POR M² = R$</t>
  </si>
  <si>
    <r>
      <t xml:space="preserve">Custo Telha por m² = </t>
    </r>
    <r>
      <rPr>
        <b/>
        <i/>
        <sz val="10"/>
        <rFont val="Arial"/>
        <family val="2"/>
      </rPr>
      <t>R$ 42,73/m²</t>
    </r>
  </si>
  <si>
    <t>CUMEEIRA</t>
  </si>
  <si>
    <r>
      <t xml:space="preserve">VALOR MÉDIO CUMEEIRA = </t>
    </r>
    <r>
      <rPr>
        <b/>
        <i/>
        <sz val="10"/>
        <rFont val="Arial"/>
        <family val="2"/>
      </rPr>
      <t>R$ 9,73 /m</t>
    </r>
  </si>
  <si>
    <t>*5</t>
  </si>
  <si>
    <t xml:space="preserve"> SAPATA EM CONCRETO ARMADO FCK=25 MPA (0,80X0,80X0,30)</t>
  </si>
  <si>
    <t>4.6</t>
  </si>
  <si>
    <t>ACABAMENTOS PARA FORRO (RODA-FORRO EM PERFIL METÁLICO E PLÁSTICO)</t>
  </si>
  <si>
    <t>LAJE PRE-MOLDADA P/FORRO, E=8CM, FCK=20MPA</t>
  </si>
  <si>
    <t>74202/001</t>
  </si>
  <si>
    <t>RUFO EM CHAPA DE AÇO GALVANIZADO PARA PLATIBANDA</t>
  </si>
  <si>
    <t>JANELA DE MADEIRA TIPO VENEZIANA DE ABRIR, INCLUSAS GUARNICOES E FERRAGENS</t>
  </si>
  <si>
    <t>ADUELA / MARCO / BATENTE PARA PORTA DE 80X210CM, PADRÃO POPULAR</t>
  </si>
  <si>
    <t>PORTA EXTERNA DE ABRIR EM ITAÚBA COM DOBRADIÇA</t>
  </si>
  <si>
    <t>CAIXA DE INSPEÇÃO EM CONCRETO PRÉ-MOLDADO DN 60CM</t>
  </si>
  <si>
    <t>11.3</t>
  </si>
  <si>
    <t>CURVA 90 GRAUS, PVC, SOLDÁVEL, DN 75 MM</t>
  </si>
  <si>
    <t>COBERTURA DE POLICARBONATO</t>
  </si>
  <si>
    <t>ÁREA TOTAL COBERTURA= 113,75 M²</t>
  </si>
  <si>
    <t>CUSTO TOTAL= R$ 15,500</t>
  </si>
  <si>
    <r>
      <t xml:space="preserve">VALOR MÉDIO = </t>
    </r>
    <r>
      <rPr>
        <b/>
        <i/>
        <sz val="10"/>
        <rFont val="Arial"/>
        <family val="2"/>
      </rPr>
      <t>R$ 136,26 /M²</t>
    </r>
  </si>
  <si>
    <t>COBERTURA DE POLICARBONATO ESPESSURA DE 6CM</t>
  </si>
  <si>
    <r>
      <t>9und.*1,40m = 12,6m = 12,6*0,395 = 4,98Kg =</t>
    </r>
    <r>
      <rPr>
        <b/>
        <i/>
        <sz val="10"/>
        <rFont val="Arial"/>
        <family val="2"/>
      </rPr>
      <t xml:space="preserve"> R$ 50,40</t>
    </r>
  </si>
  <si>
    <r>
      <rPr>
        <b/>
        <i/>
        <sz val="10"/>
        <rFont val="Arial"/>
        <family val="2"/>
      </rPr>
      <t>SAPATA</t>
    </r>
    <r>
      <rPr>
        <i/>
        <sz val="10"/>
        <rFont val="Arial"/>
        <family val="2"/>
      </rPr>
      <t xml:space="preserve"> DE 0,80X0,80X0,30</t>
    </r>
  </si>
  <si>
    <t>0,80 / 0,15 = 7und 1,10m</t>
  </si>
  <si>
    <r>
      <rPr>
        <b/>
        <i/>
        <sz val="10"/>
        <rFont val="Arial"/>
        <family val="2"/>
      </rPr>
      <t>VIGA BALDRAME</t>
    </r>
    <r>
      <rPr>
        <i/>
        <sz val="10"/>
        <rFont val="Arial"/>
        <family val="2"/>
      </rPr>
      <t xml:space="preserve">  0,15X0,40X48m</t>
    </r>
  </si>
  <si>
    <r>
      <t xml:space="preserve">Barras de 10.0mm =  2 und. * 48,00m = </t>
    </r>
    <r>
      <rPr>
        <b/>
        <i/>
        <sz val="10"/>
        <rFont val="Arial"/>
        <family val="2"/>
      </rPr>
      <t>96,00m</t>
    </r>
  </si>
  <si>
    <r>
      <t xml:space="preserve">Barras de 8.0mm = 2 und. * 48,00m  = </t>
    </r>
    <r>
      <rPr>
        <b/>
        <i/>
        <sz val="10"/>
        <rFont val="Arial"/>
        <family val="2"/>
      </rPr>
      <t>96,00m</t>
    </r>
  </si>
  <si>
    <t>74156/003</t>
  </si>
  <si>
    <t>FORMA TABUA P/ CONCRETO EM FUNDACAO C/ REAPROVEITAMENTO 10 X</t>
  </si>
  <si>
    <t>kg</t>
  </si>
  <si>
    <t>LANÇAMENTO COM USO DE BALDES, ADENSAMENTO E ACABAMENTO DE CONCRETO EM ESTRUTURAS</t>
  </si>
  <si>
    <t>74141/002</t>
  </si>
  <si>
    <t>APLICAÇÃO MANUAL DE PINTURA COM TINTA LÁTEX ACRÍLICA EM PAREDES, DUAS DEMÃOS</t>
  </si>
  <si>
    <t>GAS DE COZINHA - GLP</t>
  </si>
  <si>
    <t>LASTRO DE CONCRETO MAGRO, APLICADO EM PISOS OU RADIERS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</si>
  <si>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</si>
  <si>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</si>
  <si>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</si>
  <si>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</si>
  <si>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</si>
  <si>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</si>
  <si>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</si>
  <si>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</si>
  <si>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</si>
  <si>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</si>
  <si>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>17.14</t>
  </si>
  <si>
    <t>ESTACA A TRADO (BROCA) DIAMETRO = 20 CM, EM CONCRETO MOLDADO IN LOCO</t>
  </si>
  <si>
    <t>LASTRO DE VALA COM PREPARO DE FUNDO, COM CAMADA DE BRITA</t>
  </si>
  <si>
    <t>ARMAÇÃO DE ESTRUTURA CONVENCIONAL UTILIZANDO AÇO CA-50 DE 8,0 MM</t>
  </si>
  <si>
    <t>CONCRETO FCK = 15MPA</t>
  </si>
  <si>
    <t xml:space="preserve">LAJE PRE-MOLDADA </t>
  </si>
  <si>
    <t>PORTA EM ALUMÍNIO DE ABRIR TIPO VENEZIANA</t>
  </si>
  <si>
    <t>PONTO DE CONSUMO TERMINAL DE ÁGUA FRIA (SUBRAMAL) COM TUBULAÇÃO DE PVC, DN 25 MM</t>
  </si>
  <si>
    <t>JANELA DE ALUMÍNIO DE CORRER, 4 FOLHAS, COM VIDROS, PADRONIZADA</t>
  </si>
  <si>
    <t>PORTA DE CORRER EM ALUMINIO, COM DUAS FOLHAS PARA VIDRO</t>
  </si>
  <si>
    <t>ALIZAR / GUARNIÇÃO DE 5X1,5CM PARA PORTA DE 80X210CM FIXADO COM PREGOS</t>
  </si>
  <si>
    <t>PORTA DE MADEIRA PARA PINTURA, SEMI-OCA (LEVE OU MÉDIA), 80X210CM</t>
  </si>
  <si>
    <t>FORRO EM MADEIRA PINUS, PARA AMBIENTES COMERCIAIS</t>
  </si>
  <si>
    <t>FORRO EM RÉGUAS DE PVC, FRISADO, PARA AMBIENTES COMERCIAIS</t>
  </si>
  <si>
    <t>AZULEJO PADRÃO COMERCIAL 20X20 CM</t>
  </si>
  <si>
    <t>*7</t>
  </si>
  <si>
    <t>VOLUME CAIBROS= (0,10*0,15*22)+(0,08*0,15*42)= 0,83M³</t>
  </si>
  <si>
    <t>VOLUME RIPAS 3x5 = 70und*0,03*0,05*1,00= 0,11M³</t>
  </si>
  <si>
    <r>
      <t xml:space="preserve">Custo Caibros= (0,83*4545,83)/30= </t>
    </r>
    <r>
      <rPr>
        <b/>
        <i/>
        <sz val="10"/>
        <rFont val="Arial"/>
        <family val="2"/>
      </rPr>
      <t>R$125,77/m²</t>
    </r>
  </si>
  <si>
    <r>
      <t xml:space="preserve">Custo Ripas 3x5= (0,11*4545,83)/8= </t>
    </r>
    <r>
      <rPr>
        <b/>
        <i/>
        <sz val="10"/>
        <rFont val="Arial"/>
        <family val="2"/>
      </rPr>
      <t>R$62,50/m²</t>
    </r>
  </si>
  <si>
    <t>MADEIRAMENTO PARA PERGOLADO</t>
  </si>
  <si>
    <t>8.4</t>
  </si>
  <si>
    <t>8.9</t>
  </si>
  <si>
    <t>8.10</t>
  </si>
  <si>
    <t>C10.76.30.20.012</t>
  </si>
  <si>
    <t>CERCA PARA PROTEÇÃO DO DECK</t>
  </si>
  <si>
    <t>*8</t>
  </si>
  <si>
    <r>
      <rPr>
        <b/>
        <i/>
        <sz val="10"/>
        <rFont val="Arial"/>
        <family val="2"/>
      </rPr>
      <t>MADEIRAMENTO PERGOLADO</t>
    </r>
    <r>
      <rPr>
        <i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EXTERNO</t>
    </r>
  </si>
  <si>
    <t>CABO DE AÇO 3/8" = 0,351 KG/M</t>
  </si>
  <si>
    <t>PILARES DE MADEIRA</t>
  </si>
  <si>
    <r>
      <t xml:space="preserve">VOLUME MADEIRA = 1,40*0,09*0,09*25UNID = 0,28M³ * R$4545,83 = </t>
    </r>
    <r>
      <rPr>
        <b/>
        <i/>
        <sz val="10"/>
        <rFont val="Arial"/>
        <family val="2"/>
      </rPr>
      <t>R$1.288,74</t>
    </r>
  </si>
  <si>
    <r>
      <t xml:space="preserve">CAPA = 25M*0,11*0,01 = 0,0275M³ * R$4545,83 = </t>
    </r>
    <r>
      <rPr>
        <b/>
        <i/>
        <sz val="10"/>
        <rFont val="Arial"/>
        <family val="2"/>
      </rPr>
      <t>R$ 125,01</t>
    </r>
  </si>
  <si>
    <r>
      <t xml:space="preserve">Total= R$ 787,58 + R$ 1288,74 + R$ 125,01 = </t>
    </r>
    <r>
      <rPr>
        <b/>
        <i/>
        <sz val="10"/>
        <rFont val="Arial"/>
        <family val="2"/>
      </rPr>
      <t>R$ 2201,33</t>
    </r>
  </si>
  <si>
    <t>CALHA DE ALUMÍNIO, DESENVOLVIMENTO DE 100 CM</t>
  </si>
  <si>
    <t>PINTURA EM VERNIZ SINTETICO BRILHANTE EM MADEIRA</t>
  </si>
  <si>
    <t>10.2</t>
  </si>
  <si>
    <t>GUARDA CORPO DECK</t>
  </si>
  <si>
    <t>BRISE DE MADEIRA</t>
  </si>
  <si>
    <t>ARMACAO EM TELA DE ACO SOLDADA  ACO CA-60, 4,2MM</t>
  </si>
  <si>
    <t>CONTRAPISO EM ARGAMASSA TRAÇO 1:4 (CIMENTO E AREIA)</t>
  </si>
  <si>
    <t>LAJE PARA PISO  CONCRETO FCK=20 MPA</t>
  </si>
  <si>
    <t xml:space="preserve">LASTRO DE BRITA </t>
  </si>
  <si>
    <t>4.7</t>
  </si>
  <si>
    <t xml:space="preserve">MADEIRAMENTO PARA DECK </t>
  </si>
  <si>
    <t>TELHA DE FIBROCIMENTO PARA LAJE IMPERMEABILIZADA</t>
  </si>
  <si>
    <t>IMPERMEABILIZACAO DE LAJES</t>
  </si>
  <si>
    <t>4.2</t>
  </si>
  <si>
    <t>8.8</t>
  </si>
  <si>
    <t>8.11</t>
  </si>
  <si>
    <t>16.13</t>
  </si>
  <si>
    <t>Área Total = 160,63m²</t>
  </si>
  <si>
    <t>ALVENARIA EM TIJOLO CERAMICO MACICO 5X10X20CM 1/2 VEZ (ESPESSURA 20CM), ASSENTADO COM ARGAMASSA TRACO 1:2:8 (CIMENTO, CAL E AREIA)</t>
  </si>
  <si>
    <t xml:space="preserve">CHAPISCO APLICADO EM ALVENARIAS ARGAMASSA TRAÇO 1:3 </t>
  </si>
  <si>
    <t>EMBOÇO OU MASSA ÚNICA EM ARGAMASSA TRAÇO 1:2:8</t>
  </si>
  <si>
    <t>17.15</t>
  </si>
  <si>
    <t>17.16</t>
  </si>
  <si>
    <t>17.17</t>
  </si>
  <si>
    <t>COIFA PARA FOGÃO 4 BOCAS COM CHAMINÉ EM CHAPA DE ALUMÍNIO</t>
  </si>
  <si>
    <t>preço cotado</t>
  </si>
  <si>
    <t>CALHAS TIMBÓ</t>
  </si>
  <si>
    <t>17.18</t>
  </si>
  <si>
    <t>CAFETERIA DO PARQUE CENTRAL</t>
  </si>
  <si>
    <t>AÇO CA-50 8.0MM = 92761 R$ 8,53/Kg</t>
  </si>
  <si>
    <t>CONCRETO = 94971 - R$ 306,83/M3</t>
  </si>
  <si>
    <r>
      <t xml:space="preserve">Concreto = 1,10*1,10*0,30 = 0,363m3 = </t>
    </r>
    <r>
      <rPr>
        <b/>
        <i/>
        <sz val="10"/>
        <rFont val="Arial"/>
        <family val="2"/>
      </rPr>
      <t>R$ 111,38</t>
    </r>
  </si>
  <si>
    <t>FORMA TABUA = 96534 R$ 60,42/M2</t>
  </si>
  <si>
    <r>
      <t xml:space="preserve">Forma = 1,10+1,10+1,10+1,10 = 4,40m/l * 0,30 = 1,32m2 = </t>
    </r>
    <r>
      <rPr>
        <b/>
        <i/>
        <sz val="10"/>
        <rFont val="Arial"/>
        <family val="2"/>
      </rPr>
      <t>R$ 79,75</t>
    </r>
  </si>
  <si>
    <r>
      <t xml:space="preserve">R$ 50,40 + R$ 50,40 + R$ 111,38 + R$ 79,75 = </t>
    </r>
    <r>
      <rPr>
        <b/>
        <i/>
        <sz val="10"/>
        <rFont val="Arial"/>
        <family val="2"/>
      </rPr>
      <t>R$ 291,93/unid ou R$ 804,21m³</t>
    </r>
  </si>
  <si>
    <r>
      <t>7und.*1,10m = 7,7m = 7,7*0,395 = 3,04Kg =</t>
    </r>
    <r>
      <rPr>
        <b/>
        <i/>
        <sz val="10"/>
        <rFont val="Arial"/>
        <family val="2"/>
      </rPr>
      <t xml:space="preserve"> R$ 25,93</t>
    </r>
  </si>
  <si>
    <r>
      <t xml:space="preserve">Concreto = 0,80*0,80*0,30 = 0,192m3 = </t>
    </r>
    <r>
      <rPr>
        <b/>
        <i/>
        <sz val="10"/>
        <rFont val="Arial"/>
        <family val="2"/>
      </rPr>
      <t>R$ 58,91</t>
    </r>
  </si>
  <si>
    <r>
      <t xml:space="preserve">Forma = 0,80+0,80+0,80+0,80 = 3,20m/l * 0,30 = 0,96m2 = </t>
    </r>
    <r>
      <rPr>
        <b/>
        <i/>
        <sz val="10"/>
        <rFont val="Arial"/>
        <family val="2"/>
      </rPr>
      <t>R$ 85,00</t>
    </r>
  </si>
  <si>
    <r>
      <t xml:space="preserve">R$ 25,93 + R$ 25,93 + R$ 58,91 + R$ 85,00 = </t>
    </r>
    <r>
      <rPr>
        <b/>
        <i/>
        <sz val="10"/>
        <rFont val="Arial"/>
        <family val="2"/>
      </rPr>
      <t>R$ 195,77/unid ou R$ 1019,64m³</t>
    </r>
  </si>
  <si>
    <t>AÇO CA-50 10.0MM = 92762 R$ 6,94/Kg</t>
  </si>
  <si>
    <r>
      <t xml:space="preserve">Total Barras de 10.0mm = 96,00m * 0,617Kg/m = 59,23Kg = 59,23 * 6,94 = </t>
    </r>
    <r>
      <rPr>
        <b/>
        <i/>
        <sz val="10"/>
        <rFont val="Arial"/>
        <family val="2"/>
      </rPr>
      <t>R$ 411,05</t>
    </r>
  </si>
  <si>
    <r>
      <t xml:space="preserve">Total Barras de 8.0mm = 96,00m * 0,395Kg/m = 37,92Kg = 37,92 * 8,53 = </t>
    </r>
    <r>
      <rPr>
        <b/>
        <i/>
        <sz val="10"/>
        <rFont val="Arial"/>
        <family val="2"/>
      </rPr>
      <t>R$ 323,46</t>
    </r>
  </si>
  <si>
    <r>
      <t xml:space="preserve">Concreto = 0,15*0,40*48 = 2,88m3 * R$ 306,83m³ = </t>
    </r>
    <r>
      <rPr>
        <b/>
        <i/>
        <sz val="10"/>
        <rFont val="Arial"/>
        <family val="2"/>
      </rPr>
      <t>R$ 883,67</t>
    </r>
  </si>
  <si>
    <r>
      <t xml:space="preserve">Forma = 0,40+0,40 = 0,80m/l * 48m = 38,40m2 * R$ 60,42/m² = </t>
    </r>
    <r>
      <rPr>
        <b/>
        <i/>
        <sz val="10"/>
        <rFont val="Arial"/>
        <family val="2"/>
      </rPr>
      <t>R$ 2320,13</t>
    </r>
  </si>
  <si>
    <r>
      <t xml:space="preserve">Sarafo p/ segurar forma = 48m / 0,30m = 160m * 2 lados = 320,00m/l * 0,05m = 16m * R$ 60,42/m² = </t>
    </r>
    <r>
      <rPr>
        <b/>
        <i/>
        <sz val="10"/>
        <rFont val="Arial"/>
        <family val="2"/>
      </rPr>
      <t>R$ 966,72</t>
    </r>
  </si>
  <si>
    <t xml:space="preserve">CUSTO HORA CARPINTEIRO= 88262 R$21,95 </t>
  </si>
  <si>
    <t>CUSTO HORA AJUDANTE CARPINTEIRO= 88239 R$22,48</t>
  </si>
  <si>
    <t>CUSTO KG PREGO= 00005061 R$9,62</t>
  </si>
  <si>
    <r>
      <t xml:space="preserve">Carpinteiro= 1,5*21,95= </t>
    </r>
    <r>
      <rPr>
        <b/>
        <i/>
        <sz val="10"/>
        <rFont val="Arial"/>
        <family val="2"/>
      </rPr>
      <t>R$32,93/m²</t>
    </r>
  </si>
  <si>
    <r>
      <t xml:space="preserve">Ajudante de Carpinteiro= 1,5*22,48= </t>
    </r>
    <r>
      <rPr>
        <b/>
        <i/>
        <sz val="10"/>
        <rFont val="Arial"/>
        <family val="2"/>
      </rPr>
      <t>R$33,72/m²</t>
    </r>
  </si>
  <si>
    <r>
      <t xml:space="preserve">Pregos= 0,26*9,62= </t>
    </r>
    <r>
      <rPr>
        <b/>
        <i/>
        <sz val="10"/>
        <rFont val="Arial"/>
        <family val="2"/>
      </rPr>
      <t>R$2,50/m²</t>
    </r>
  </si>
  <si>
    <r>
      <t xml:space="preserve">Total= R$ 32,93 + R$ 33,72 + R$ 2,50 + R$ 139,05 + R$ 65,43 = </t>
    </r>
    <r>
      <rPr>
        <b/>
        <i/>
        <sz val="10"/>
        <rFont val="Arial"/>
        <family val="2"/>
      </rPr>
      <t>R$ 273,63/m²</t>
    </r>
  </si>
  <si>
    <r>
      <t xml:space="preserve">Carpinteiro= 0,9*21,95= </t>
    </r>
    <r>
      <rPr>
        <b/>
        <i/>
        <sz val="10"/>
        <rFont val="Arial"/>
        <family val="2"/>
      </rPr>
      <t>R$19,75/m²</t>
    </r>
  </si>
  <si>
    <r>
      <t xml:space="preserve">Ajudante de Carpinteiro= 0,9*22,48= </t>
    </r>
    <r>
      <rPr>
        <b/>
        <i/>
        <sz val="10"/>
        <rFont val="Arial"/>
        <family val="2"/>
      </rPr>
      <t>R$20,23/m²</t>
    </r>
  </si>
  <si>
    <r>
      <t xml:space="preserve">Pregos= 0,12*9,62= </t>
    </r>
    <r>
      <rPr>
        <b/>
        <i/>
        <sz val="10"/>
        <rFont val="Arial"/>
        <family val="2"/>
      </rPr>
      <t>R$1,15/m²</t>
    </r>
  </si>
  <si>
    <r>
      <t xml:space="preserve">Total= R$ 19,75 + R$ 20,23 + R$ 1,15 + R$ 67,53 + R$ 15,51 = </t>
    </r>
    <r>
      <rPr>
        <b/>
        <i/>
        <sz val="10"/>
        <rFont val="Arial"/>
        <family val="2"/>
      </rPr>
      <t>R$ 124,17/m²</t>
    </r>
  </si>
  <si>
    <t>CUSTO HORA TELHADISTA = 88323 R$20,44</t>
  </si>
  <si>
    <t>CUSTO HORA SERVENTE = 88316 R$16,16</t>
  </si>
  <si>
    <r>
      <t xml:space="preserve">Telhadista= 0,13*20,44= </t>
    </r>
    <r>
      <rPr>
        <b/>
        <i/>
        <sz val="10"/>
        <rFont val="Arial"/>
        <family val="2"/>
      </rPr>
      <t>R$2,66/m²</t>
    </r>
  </si>
  <si>
    <r>
      <t xml:space="preserve">Serevente = 0,39*16,16 = </t>
    </r>
    <r>
      <rPr>
        <b/>
        <i/>
        <sz val="10"/>
        <rFont val="Arial"/>
        <family val="2"/>
      </rPr>
      <t>R$6,30/m²</t>
    </r>
  </si>
  <si>
    <r>
      <t xml:space="preserve">Total= R$ 2,66 + R$ 6,30 + R$42,73  = </t>
    </r>
    <r>
      <rPr>
        <b/>
        <i/>
        <sz val="10"/>
        <rFont val="Arial"/>
        <family val="2"/>
      </rPr>
      <t>R$ 51,69/m²</t>
    </r>
  </si>
  <si>
    <r>
      <t xml:space="preserve">Carpinteiro= 0,9*21,95= </t>
    </r>
    <r>
      <rPr>
        <b/>
        <i/>
        <sz val="10"/>
        <rFont val="Arial"/>
        <family val="2"/>
      </rPr>
      <t>R$19,76/m²</t>
    </r>
  </si>
  <si>
    <r>
      <t xml:space="preserve">Total= R$ 19,76 + R$ 20,23 + R$ 1,15 + R$ 125,77 + R$ 62,50 = </t>
    </r>
    <r>
      <rPr>
        <b/>
        <i/>
        <sz val="10"/>
        <rFont val="Arial"/>
        <family val="2"/>
      </rPr>
      <t>R$ 229,41/m²</t>
    </r>
  </si>
  <si>
    <t>CABO DE AÇO COM ALMA DE FIBRA = 42013 - R$10,38/KG</t>
  </si>
  <si>
    <r>
      <t xml:space="preserve">CABO DE AÇO = 0,351KG/M * 235,20M = 82,55 KG * R$10,38/KG = </t>
    </r>
    <r>
      <rPr>
        <b/>
        <i/>
        <sz val="10"/>
        <rFont val="Arial"/>
        <family val="2"/>
      </rPr>
      <t>R$ 856,87</t>
    </r>
  </si>
  <si>
    <r>
      <t xml:space="preserve">Total = R$ 411,05+ R$ 323,46 + R$ 883,67 + R$ 2320,13 + R$ 966,72 = </t>
    </r>
    <r>
      <rPr>
        <b/>
        <i/>
        <sz val="10"/>
        <rFont val="Arial"/>
        <family val="2"/>
      </rPr>
      <t>R$ 4905,03/unid ou R$ 1703,140/m³</t>
    </r>
  </si>
  <si>
    <t>HASTE DE ATERRAMENTO EM ACO COM 3,00 M DE COMPRIMENTO E DN = 3/4", COM CONECTOR TIPO GRAMPO</t>
  </si>
  <si>
    <t>00003376</t>
  </si>
  <si>
    <t xml:space="preserve">RETIRADA DE FORRO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</si>
</sst>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#,##0.00"/>
    <numFmt numFmtId="167" formatCode="&quot;R$&quot;\ #,##0.00"/>
    <numFmt numFmtId="168" formatCode="0.0%"/>
  </numFmts>
  <fonts count="35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6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1"/>
      <name val="Times New Roman"/>
      <family val="1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10"/>
      <color indexed="10"/>
      <name val="Arial"/>
      <family val="2"/>
    </font>
    <font>
      <sz val="8"/>
      <name val="Trebuchet MS"/>
      <family val="2"/>
    </font>
    <font>
      <sz val="8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i/>
      <sz val="8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346">
    <xf numFmtId="0" fontId="0" fillId="0" borderId="0" xfId="0"/>
    <xf numFmtId="0" fontId="2" fillId="0" borderId="0" xfId="0" applyFont="1"/>
    <xf numFmtId="165" fontId="6" fillId="0" borderId="2" xfId="1" applyFont="1" applyBorder="1"/>
    <xf numFmtId="0" fontId="6" fillId="0" borderId="2" xfId="0" applyFont="1" applyBorder="1" applyAlignment="1">
      <alignment horizontal="right"/>
    </xf>
    <xf numFmtId="10" fontId="6" fillId="0" borderId="2" xfId="2" applyNumberFormat="1" applyFont="1" applyBorder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165" fontId="4" fillId="0" borderId="1" xfId="1" applyFont="1" applyBorder="1"/>
    <xf numFmtId="10" fontId="4" fillId="0" borderId="3" xfId="2" applyNumberFormat="1" applyFont="1" applyBorder="1" applyAlignment="1">
      <alignment horizontal="right"/>
    </xf>
    <xf numFmtId="0" fontId="7" fillId="0" borderId="0" xfId="0" applyFont="1" applyFill="1"/>
    <xf numFmtId="166" fontId="6" fillId="0" borderId="4" xfId="0" applyNumberFormat="1" applyFont="1" applyFill="1" applyBorder="1" applyAlignment="1">
      <alignment horizontal="center"/>
    </xf>
    <xf numFmtId="164" fontId="4" fillId="0" borderId="0" xfId="3" applyFont="1" applyBorder="1" applyAlignment="1">
      <alignment horizontal="center"/>
    </xf>
    <xf numFmtId="164" fontId="4" fillId="0" borderId="0" xfId="3" applyFont="1" applyFill="1" applyBorder="1"/>
    <xf numFmtId="164" fontId="4" fillId="0" borderId="0" xfId="3" applyFont="1" applyBorder="1"/>
    <xf numFmtId="0" fontId="8" fillId="0" borderId="0" xfId="0" applyFont="1" applyBorder="1"/>
    <xf numFmtId="165" fontId="3" fillId="0" borderId="0" xfId="1" applyFont="1" applyBorder="1"/>
    <xf numFmtId="0" fontId="6" fillId="0" borderId="6" xfId="0" applyFont="1" applyFill="1" applyBorder="1" applyAlignment="1">
      <alignment horizontal="center"/>
    </xf>
    <xf numFmtId="166" fontId="6" fillId="0" borderId="7" xfId="0" applyNumberFormat="1" applyFont="1" applyFill="1" applyBorder="1" applyAlignment="1">
      <alignment horizontal="center"/>
    </xf>
    <xf numFmtId="164" fontId="10" fillId="0" borderId="0" xfId="3" applyFont="1" applyBorder="1"/>
    <xf numFmtId="164" fontId="4" fillId="0" borderId="0" xfId="3" applyFont="1" applyFill="1" applyBorder="1" applyAlignment="1">
      <alignment horizontal="center"/>
    </xf>
    <xf numFmtId="164" fontId="4" fillId="0" borderId="8" xfId="3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10" fillId="0" borderId="0" xfId="3" applyFont="1" applyFill="1" applyBorder="1"/>
    <xf numFmtId="164" fontId="8" fillId="0" borderId="0" xfId="0" applyNumberFormat="1" applyFont="1" applyBorder="1" applyAlignment="1">
      <alignment horizontal="center"/>
    </xf>
    <xf numFmtId="164" fontId="4" fillId="0" borderId="2" xfId="3" applyFont="1" applyBorder="1" applyAlignment="1">
      <alignment horizontal="center"/>
    </xf>
    <xf numFmtId="9" fontId="6" fillId="0" borderId="6" xfId="2" applyFont="1" applyFill="1" applyBorder="1" applyAlignment="1">
      <alignment horizontal="center"/>
    </xf>
    <xf numFmtId="9" fontId="4" fillId="0" borderId="3" xfId="2" applyFont="1" applyBorder="1" applyAlignment="1">
      <alignment horizontal="center"/>
    </xf>
    <xf numFmtId="9" fontId="4" fillId="0" borderId="2" xfId="2" applyFont="1" applyBorder="1" applyAlignment="1">
      <alignment horizontal="center"/>
    </xf>
    <xf numFmtId="9" fontId="4" fillId="0" borderId="0" xfId="2" applyFont="1" applyBorder="1" applyAlignment="1">
      <alignment horizontal="center"/>
    </xf>
    <xf numFmtId="9" fontId="8" fillId="0" borderId="0" xfId="2" applyFont="1" applyBorder="1" applyAlignment="1">
      <alignment horizontal="center"/>
    </xf>
    <xf numFmtId="9" fontId="8" fillId="0" borderId="0" xfId="2" applyFont="1" applyAlignment="1">
      <alignment horizontal="center"/>
    </xf>
    <xf numFmtId="9" fontId="2" fillId="0" borderId="0" xfId="2" applyFont="1" applyAlignment="1">
      <alignment horizontal="center"/>
    </xf>
    <xf numFmtId="9" fontId="4" fillId="0" borderId="0" xfId="2" applyFont="1" applyFill="1" applyBorder="1" applyAlignment="1">
      <alignment horizontal="center"/>
    </xf>
    <xf numFmtId="164" fontId="12" fillId="0" borderId="9" xfId="0" applyNumberFormat="1" applyFont="1" applyBorder="1"/>
    <xf numFmtId="9" fontId="12" fillId="0" borderId="10" xfId="0" applyNumberFormat="1" applyFont="1" applyBorder="1"/>
    <xf numFmtId="0" fontId="12" fillId="0" borderId="0" xfId="0" applyFont="1" applyBorder="1"/>
    <xf numFmtId="165" fontId="10" fillId="0" borderId="11" xfId="1" applyFont="1" applyBorder="1"/>
    <xf numFmtId="165" fontId="4" fillId="0" borderId="12" xfId="1" applyFont="1" applyBorder="1"/>
    <xf numFmtId="0" fontId="2" fillId="0" borderId="12" xfId="0" applyFont="1" applyBorder="1"/>
    <xf numFmtId="0" fontId="5" fillId="0" borderId="12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2" fillId="0" borderId="14" xfId="0" applyFont="1" applyBorder="1"/>
    <xf numFmtId="9" fontId="2" fillId="0" borderId="14" xfId="2" applyFont="1" applyBorder="1" applyAlignment="1">
      <alignment horizontal="center"/>
    </xf>
    <xf numFmtId="0" fontId="8" fillId="0" borderId="15" xfId="0" applyFont="1" applyBorder="1"/>
    <xf numFmtId="165" fontId="3" fillId="0" borderId="12" xfId="1" applyFont="1" applyBorder="1"/>
    <xf numFmtId="0" fontId="14" fillId="0" borderId="0" xfId="0" applyFont="1"/>
    <xf numFmtId="164" fontId="4" fillId="0" borderId="2" xfId="3" applyFont="1" applyBorder="1"/>
    <xf numFmtId="9" fontId="4" fillId="0" borderId="2" xfId="2" applyFont="1" applyBorder="1"/>
    <xf numFmtId="0" fontId="7" fillId="0" borderId="2" xfId="0" applyFont="1" applyBorder="1"/>
    <xf numFmtId="9" fontId="8" fillId="0" borderId="12" xfId="2" applyFont="1" applyBorder="1" applyAlignment="1">
      <alignment horizontal="center"/>
    </xf>
    <xf numFmtId="9" fontId="10" fillId="0" borderId="0" xfId="2" applyFont="1" applyFill="1" applyBorder="1" applyAlignment="1">
      <alignment horizontal="center"/>
    </xf>
    <xf numFmtId="9" fontId="10" fillId="0" borderId="0" xfId="2" applyFont="1" applyBorder="1" applyAlignment="1">
      <alignment horizontal="center"/>
    </xf>
    <xf numFmtId="9" fontId="5" fillId="0" borderId="12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0" fontId="4" fillId="0" borderId="8" xfId="1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4" fillId="2" borderId="2" xfId="3" applyFont="1" applyFill="1" applyBorder="1" applyAlignment="1">
      <alignment horizontal="center"/>
    </xf>
    <xf numFmtId="9" fontId="4" fillId="2" borderId="2" xfId="2" applyFont="1" applyFill="1" applyBorder="1" applyAlignment="1">
      <alignment horizontal="center"/>
    </xf>
    <xf numFmtId="164" fontId="13" fillId="2" borderId="2" xfId="0" applyNumberFormat="1" applyFont="1" applyFill="1" applyBorder="1"/>
    <xf numFmtId="0" fontId="3" fillId="0" borderId="12" xfId="0" applyFont="1" applyBorder="1"/>
    <xf numFmtId="0" fontId="6" fillId="0" borderId="5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165" fontId="10" fillId="0" borderId="16" xfId="1" applyFont="1" applyBorder="1"/>
    <xf numFmtId="165" fontId="11" fillId="0" borderId="14" xfId="1" applyFont="1" applyBorder="1"/>
    <xf numFmtId="165" fontId="4" fillId="0" borderId="14" xfId="1" applyFont="1" applyBorder="1"/>
    <xf numFmtId="165" fontId="6" fillId="0" borderId="14" xfId="1" applyFont="1" applyBorder="1"/>
    <xf numFmtId="0" fontId="5" fillId="0" borderId="14" xfId="0" applyFont="1" applyBorder="1"/>
    <xf numFmtId="9" fontId="5" fillId="0" borderId="14" xfId="2" applyFont="1" applyBorder="1" applyAlignment="1">
      <alignment horizontal="center"/>
    </xf>
    <xf numFmtId="9" fontId="8" fillId="0" borderId="14" xfId="2" applyFont="1" applyBorder="1" applyAlignment="1">
      <alignment horizontal="center"/>
    </xf>
    <xf numFmtId="0" fontId="15" fillId="2" borderId="2" xfId="0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3" applyFont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4" fontId="5" fillId="0" borderId="0" xfId="3" applyFont="1" applyBorder="1"/>
    <xf numFmtId="0" fontId="19" fillId="0" borderId="11" xfId="0" applyFont="1" applyBorder="1"/>
    <xf numFmtId="0" fontId="5" fillId="0" borderId="12" xfId="0" applyFont="1" applyBorder="1" applyAlignment="1">
      <alignment horizontal="center"/>
    </xf>
    <xf numFmtId="164" fontId="20" fillId="0" borderId="12" xfId="3" applyFont="1" applyBorder="1" applyAlignment="1">
      <alignment horizontal="left"/>
    </xf>
    <xf numFmtId="164" fontId="20" fillId="0" borderId="13" xfId="3" applyFont="1" applyBorder="1" applyAlignment="1">
      <alignment horizontal="left"/>
    </xf>
    <xf numFmtId="164" fontId="20" fillId="0" borderId="0" xfId="3" applyFont="1" applyBorder="1" applyAlignment="1">
      <alignment horizontal="left"/>
    </xf>
    <xf numFmtId="0" fontId="19" fillId="0" borderId="17" xfId="0" applyFont="1" applyBorder="1"/>
    <xf numFmtId="0" fontId="16" fillId="0" borderId="0" xfId="0" applyFont="1" applyBorder="1" applyAlignment="1">
      <alignment horizontal="left"/>
    </xf>
    <xf numFmtId="164" fontId="20" fillId="0" borderId="0" xfId="3" applyFont="1" applyBorder="1" applyAlignment="1">
      <alignment horizontal="right"/>
    </xf>
    <xf numFmtId="164" fontId="20" fillId="0" borderId="18" xfId="3" applyFont="1" applyBorder="1" applyAlignment="1">
      <alignment horizontal="right"/>
    </xf>
    <xf numFmtId="164" fontId="5" fillId="0" borderId="0" xfId="0" applyNumberFormat="1" applyFont="1" applyBorder="1"/>
    <xf numFmtId="164" fontId="12" fillId="0" borderId="0" xfId="3" applyNumberFormat="1" applyFont="1" applyBorder="1"/>
    <xf numFmtId="0" fontId="5" fillId="0" borderId="0" xfId="0" applyFont="1" applyFill="1"/>
    <xf numFmtId="0" fontId="5" fillId="0" borderId="0" xfId="0" applyFont="1" applyFill="1" applyBorder="1"/>
    <xf numFmtId="164" fontId="12" fillId="0" borderId="0" xfId="3" applyFont="1" applyBorder="1"/>
    <xf numFmtId="164" fontId="12" fillId="0" borderId="0" xfId="3" applyFont="1" applyFill="1" applyBorder="1"/>
    <xf numFmtId="164" fontId="19" fillId="0" borderId="5" xfId="3" applyFont="1" applyFill="1" applyBorder="1" applyAlignment="1">
      <alignment horizontal="center"/>
    </xf>
    <xf numFmtId="0" fontId="22" fillId="0" borderId="0" xfId="0" applyFont="1"/>
    <xf numFmtId="164" fontId="12" fillId="0" borderId="0" xfId="3" applyFont="1"/>
    <xf numFmtId="165" fontId="3" fillId="2" borderId="2" xfId="1" applyFont="1" applyFill="1" applyBorder="1"/>
    <xf numFmtId="9" fontId="3" fillId="2" borderId="2" xfId="2" applyFont="1" applyFill="1" applyBorder="1"/>
    <xf numFmtId="0" fontId="2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justify" vertical="justify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justify" vertical="justify"/>
    </xf>
    <xf numFmtId="0" fontId="12" fillId="0" borderId="0" xfId="0" applyFont="1" applyBorder="1" applyAlignment="1">
      <alignment horizontal="justify"/>
    </xf>
    <xf numFmtId="164" fontId="13" fillId="0" borderId="0" xfId="3" applyFont="1" applyBorder="1"/>
    <xf numFmtId="164" fontId="12" fillId="0" borderId="2" xfId="3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justify" vertical="justify"/>
    </xf>
    <xf numFmtId="0" fontId="12" fillId="0" borderId="2" xfId="0" applyFont="1" applyBorder="1" applyAlignment="1">
      <alignment horizontal="justify"/>
    </xf>
    <xf numFmtId="0" fontId="13" fillId="0" borderId="2" xfId="0" applyFont="1" applyFill="1" applyBorder="1" applyAlignment="1">
      <alignment horizontal="right" vertical="justify"/>
    </xf>
    <xf numFmtId="164" fontId="12" fillId="0" borderId="2" xfId="3" applyFont="1" applyFill="1" applyBorder="1"/>
    <xf numFmtId="0" fontId="12" fillId="3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top"/>
    </xf>
    <xf numFmtId="164" fontId="12" fillId="0" borderId="22" xfId="3" applyFont="1" applyFill="1" applyBorder="1" applyAlignment="1">
      <alignment horizontal="center"/>
    </xf>
    <xf numFmtId="164" fontId="5" fillId="0" borderId="0" xfId="3" applyFont="1" applyBorder="1" applyAlignment="1">
      <alignment horizontal="left"/>
    </xf>
    <xf numFmtId="0" fontId="18" fillId="0" borderId="2" xfId="0" applyFont="1" applyFill="1" applyBorder="1" applyAlignment="1">
      <alignment horizontal="center"/>
    </xf>
    <xf numFmtId="164" fontId="13" fillId="0" borderId="2" xfId="3" applyFont="1" applyBorder="1"/>
    <xf numFmtId="0" fontId="18" fillId="0" borderId="0" xfId="0" applyFont="1" applyFill="1"/>
    <xf numFmtId="164" fontId="13" fillId="0" borderId="0" xfId="3" applyNumberFormat="1" applyFont="1" applyBorder="1"/>
    <xf numFmtId="0" fontId="18" fillId="0" borderId="0" xfId="0" applyFont="1"/>
    <xf numFmtId="164" fontId="18" fillId="0" borderId="0" xfId="3" applyFont="1" applyBorder="1"/>
    <xf numFmtId="164" fontId="18" fillId="0" borderId="2" xfId="3" applyFont="1" applyBorder="1"/>
    <xf numFmtId="0" fontId="12" fillId="0" borderId="2" xfId="0" applyFont="1" applyBorder="1" applyAlignment="1">
      <alignment horizontal="center" wrapText="1"/>
    </xf>
    <xf numFmtId="164" fontId="12" fillId="0" borderId="2" xfId="0" applyNumberFormat="1" applyFont="1" applyBorder="1"/>
    <xf numFmtId="164" fontId="6" fillId="0" borderId="2" xfId="3" applyFont="1" applyBorder="1"/>
    <xf numFmtId="164" fontId="5" fillId="3" borderId="0" xfId="3" applyFont="1" applyFill="1"/>
    <xf numFmtId="164" fontId="5" fillId="3" borderId="0" xfId="3" applyFont="1" applyFill="1" applyBorder="1"/>
    <xf numFmtId="164" fontId="20" fillId="3" borderId="12" xfId="3" applyFont="1" applyFill="1" applyBorder="1" applyAlignment="1">
      <alignment horizontal="left"/>
    </xf>
    <xf numFmtId="164" fontId="20" fillId="3" borderId="0" xfId="3" applyFont="1" applyFill="1" applyBorder="1" applyAlignment="1">
      <alignment horizontal="right"/>
    </xf>
    <xf numFmtId="164" fontId="19" fillId="3" borderId="19" xfId="3" applyFont="1" applyFill="1" applyBorder="1" applyAlignment="1">
      <alignment horizontal="center"/>
    </xf>
    <xf numFmtId="164" fontId="12" fillId="3" borderId="19" xfId="3" applyFont="1" applyFill="1" applyBorder="1" applyAlignment="1">
      <alignment horizontal="center"/>
    </xf>
    <xf numFmtId="164" fontId="12" fillId="3" borderId="2" xfId="3" applyFont="1" applyFill="1" applyBorder="1" applyAlignment="1">
      <alignment horizontal="center"/>
    </xf>
    <xf numFmtId="164" fontId="13" fillId="3" borderId="2" xfId="3" applyFont="1" applyFill="1" applyBorder="1" applyAlignment="1">
      <alignment horizontal="center"/>
    </xf>
    <xf numFmtId="164" fontId="12" fillId="3" borderId="2" xfId="3" applyFont="1" applyFill="1" applyBorder="1"/>
    <xf numFmtId="164" fontId="12" fillId="3" borderId="0" xfId="3" applyFont="1" applyFill="1" applyBorder="1" applyAlignment="1">
      <alignment horizontal="center"/>
    </xf>
    <xf numFmtId="2" fontId="12" fillId="3" borderId="0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1" fillId="0" borderId="0" xfId="0" applyFont="1"/>
    <xf numFmtId="0" fontId="12" fillId="0" borderId="2" xfId="0" applyFont="1" applyFill="1" applyBorder="1" applyAlignment="1">
      <alignment horizontal="left" vertical="justify"/>
    </xf>
    <xf numFmtId="164" fontId="24" fillId="0" borderId="0" xfId="3" applyNumberFormat="1" applyFont="1" applyBorder="1"/>
    <xf numFmtId="0" fontId="1" fillId="0" borderId="0" xfId="0" applyFont="1" applyBorder="1"/>
    <xf numFmtId="0" fontId="12" fillId="0" borderId="2" xfId="0" applyFont="1" applyFill="1" applyBorder="1" applyAlignment="1">
      <alignment horizontal="justify" vertical="justify" wrapText="1"/>
    </xf>
    <xf numFmtId="0" fontId="12" fillId="0" borderId="2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/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2" fillId="0" borderId="2" xfId="0" applyFont="1" applyFill="1" applyBorder="1" applyAlignment="1">
      <alignment horizontal="justify" vertical="justify"/>
    </xf>
    <xf numFmtId="164" fontId="1" fillId="3" borderId="0" xfId="3" applyFont="1" applyFill="1"/>
    <xf numFmtId="0" fontId="12" fillId="0" borderId="2" xfId="0" applyFont="1" applyBorder="1" applyAlignment="1">
      <alignment horizontal="justify" vertical="top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/>
    </xf>
    <xf numFmtId="0" fontId="12" fillId="0" borderId="0" xfId="0" applyFont="1" applyBorder="1" applyAlignment="1"/>
    <xf numFmtId="164" fontId="23" fillId="0" borderId="0" xfId="3" applyFont="1" applyFill="1" applyBorder="1" applyAlignment="1">
      <alignment horizontal="center"/>
    </xf>
    <xf numFmtId="164" fontId="12" fillId="0" borderId="2" xfId="3" applyFont="1" applyFill="1" applyBorder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164" fontId="1" fillId="3" borderId="0" xfId="3" applyFont="1" applyFill="1" applyBorder="1"/>
    <xf numFmtId="167" fontId="12" fillId="0" borderId="0" xfId="0" applyNumberFormat="1" applyFont="1" applyBorder="1"/>
    <xf numFmtId="167" fontId="1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44" fontId="12" fillId="0" borderId="0" xfId="4" applyFont="1" applyBorder="1" applyAlignment="1">
      <alignment horizontal="center"/>
    </xf>
    <xf numFmtId="44" fontId="12" fillId="0" borderId="0" xfId="4" applyFont="1" applyFill="1" applyBorder="1"/>
    <xf numFmtId="44" fontId="13" fillId="0" borderId="0" xfId="4" applyFont="1" applyBorder="1" applyAlignment="1">
      <alignment horizontal="center"/>
    </xf>
    <xf numFmtId="164" fontId="12" fillId="0" borderId="0" xfId="3" applyFont="1" applyFill="1" applyBorder="1" applyAlignment="1">
      <alignment horizontal="center"/>
    </xf>
    <xf numFmtId="164" fontId="12" fillId="3" borderId="0" xfId="3" applyFont="1" applyFill="1" applyBorder="1"/>
    <xf numFmtId="168" fontId="4" fillId="0" borderId="2" xfId="2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/>
    </xf>
    <xf numFmtId="164" fontId="1" fillId="0" borderId="2" xfId="3" applyFont="1" applyFill="1" applyBorder="1"/>
    <xf numFmtId="0" fontId="4" fillId="0" borderId="17" xfId="1" applyNumberFormat="1" applyFont="1" applyBorder="1" applyAlignment="1">
      <alignment horizontal="center"/>
    </xf>
    <xf numFmtId="165" fontId="4" fillId="0" borderId="0" xfId="1" applyFont="1" applyBorder="1"/>
    <xf numFmtId="9" fontId="4" fillId="0" borderId="18" xfId="2" applyFont="1" applyBorder="1" applyAlignment="1">
      <alignment horizontal="center"/>
    </xf>
    <xf numFmtId="10" fontId="5" fillId="0" borderId="0" xfId="2" applyNumberFormat="1" applyFont="1"/>
    <xf numFmtId="0" fontId="12" fillId="0" borderId="22" xfId="0" applyFont="1" applyBorder="1" applyAlignment="1">
      <alignment horizontal="center"/>
    </xf>
    <xf numFmtId="0" fontId="12" fillId="0" borderId="22" xfId="0" applyFont="1" applyFill="1" applyBorder="1" applyAlignment="1">
      <alignment horizontal="left" vertical="justify"/>
    </xf>
    <xf numFmtId="164" fontId="12" fillId="0" borderId="22" xfId="3" applyFont="1" applyFill="1" applyBorder="1"/>
    <xf numFmtId="164" fontId="12" fillId="3" borderId="22" xfId="3" applyFont="1" applyFill="1" applyBorder="1"/>
    <xf numFmtId="164" fontId="12" fillId="0" borderId="22" xfId="3" applyFont="1" applyBorder="1"/>
    <xf numFmtId="0" fontId="12" fillId="0" borderId="5" xfId="0" applyFont="1" applyBorder="1" applyAlignment="1">
      <alignment horizontal="center" wrapText="1"/>
    </xf>
    <xf numFmtId="164" fontId="12" fillId="3" borderId="5" xfId="3" applyFont="1" applyFill="1" applyBorder="1" applyAlignment="1">
      <alignment horizontal="center" wrapText="1"/>
    </xf>
    <xf numFmtId="164" fontId="12" fillId="3" borderId="5" xfId="3" applyFont="1" applyFill="1" applyBorder="1"/>
    <xf numFmtId="164" fontId="12" fillId="0" borderId="5" xfId="3" applyFont="1" applyBorder="1"/>
    <xf numFmtId="0" fontId="12" fillId="0" borderId="19" xfId="0" applyFont="1" applyBorder="1" applyAlignment="1">
      <alignment horizontal="center"/>
    </xf>
    <xf numFmtId="164" fontId="12" fillId="0" borderId="20" xfId="3" applyFont="1" applyFill="1" applyBorder="1"/>
    <xf numFmtId="164" fontId="12" fillId="3" borderId="20" xfId="3" applyFont="1" applyFill="1" applyBorder="1" applyAlignment="1">
      <alignment horizontal="center"/>
    </xf>
    <xf numFmtId="164" fontId="12" fillId="3" borderId="20" xfId="3" applyFont="1" applyFill="1" applyBorder="1"/>
    <xf numFmtId="164" fontId="12" fillId="0" borderId="26" xfId="3" applyFont="1" applyBorder="1"/>
    <xf numFmtId="164" fontId="26" fillId="0" borderId="0" xfId="3" applyNumberFormat="1" applyFont="1"/>
    <xf numFmtId="0" fontId="12" fillId="0" borderId="2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27" fillId="0" borderId="2" xfId="0" applyFont="1" applyFill="1" applyBorder="1" applyAlignment="1">
      <alignment horizontal="justify" vertical="justify"/>
    </xf>
    <xf numFmtId="0" fontId="12" fillId="0" borderId="0" xfId="0" applyFont="1" applyFill="1" applyBorder="1" applyAlignment="1">
      <alignment horizontal="justify" vertical="justify"/>
    </xf>
    <xf numFmtId="0" fontId="28" fillId="0" borderId="0" xfId="0" applyFont="1" applyBorder="1"/>
    <xf numFmtId="0" fontId="1" fillId="0" borderId="0" xfId="0" applyFont="1" applyBorder="1" applyAlignment="1">
      <alignment horizontal="center"/>
    </xf>
    <xf numFmtId="0" fontId="28" fillId="0" borderId="0" xfId="0" applyFont="1" applyFill="1" applyBorder="1"/>
    <xf numFmtId="0" fontId="28" fillId="0" borderId="0" xfId="0" applyFont="1" applyBorder="1" applyAlignment="1">
      <alignment horizontal="justify" vertical="justify"/>
    </xf>
    <xf numFmtId="0" fontId="12" fillId="0" borderId="19" xfId="0" applyFont="1" applyBorder="1" applyAlignment="1">
      <alignment vertical="center" wrapText="1"/>
    </xf>
    <xf numFmtId="164" fontId="1" fillId="0" borderId="0" xfId="3" applyFont="1" applyBorder="1"/>
    <xf numFmtId="0" fontId="21" fillId="0" borderId="0" xfId="3" applyNumberFormat="1" applyFont="1" applyBorder="1" applyAlignment="1">
      <alignment horizontal="right"/>
    </xf>
    <xf numFmtId="0" fontId="12" fillId="0" borderId="0" xfId="0" applyFont="1" applyAlignment="1">
      <alignment horizontal="justify" vertical="center"/>
    </xf>
    <xf numFmtId="164" fontId="12" fillId="0" borderId="5" xfId="3" quotePrefix="1" applyFont="1" applyFill="1" applyBorder="1" applyAlignment="1">
      <alignment wrapText="1"/>
    </xf>
    <xf numFmtId="0" fontId="26" fillId="0" borderId="0" xfId="0" applyFont="1"/>
    <xf numFmtId="0" fontId="26" fillId="0" borderId="0" xfId="0" applyFont="1" applyBorder="1"/>
    <xf numFmtId="164" fontId="26" fillId="0" borderId="0" xfId="3" applyFont="1" applyBorder="1"/>
    <xf numFmtId="164" fontId="26" fillId="0" borderId="0" xfId="0" applyNumberFormat="1" applyFont="1" applyBorder="1"/>
    <xf numFmtId="0" fontId="26" fillId="0" borderId="0" xfId="0" applyFont="1" applyFill="1" applyBorder="1"/>
    <xf numFmtId="164" fontId="30" fillId="0" borderId="0" xfId="0" applyNumberFormat="1" applyFont="1" applyBorder="1"/>
    <xf numFmtId="0" fontId="30" fillId="0" borderId="0" xfId="0" applyFont="1" applyFill="1" applyBorder="1"/>
    <xf numFmtId="0" fontId="30" fillId="0" borderId="0" xfId="0" applyFont="1" applyBorder="1"/>
    <xf numFmtId="0" fontId="17" fillId="0" borderId="0" xfId="0" applyFont="1" applyBorder="1" applyAlignment="1"/>
    <xf numFmtId="0" fontId="17" fillId="0" borderId="27" xfId="0" applyFont="1" applyBorder="1" applyAlignment="1"/>
    <xf numFmtId="0" fontId="18" fillId="5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justify" vertical="justify"/>
    </xf>
    <xf numFmtId="0" fontId="5" fillId="5" borderId="2" xfId="0" applyFont="1" applyFill="1" applyBorder="1" applyAlignment="1">
      <alignment horizontal="center"/>
    </xf>
    <xf numFmtId="164" fontId="12" fillId="5" borderId="2" xfId="3" applyFont="1" applyFill="1" applyBorder="1" applyAlignment="1">
      <alignment horizontal="center"/>
    </xf>
    <xf numFmtId="164" fontId="12" fillId="5" borderId="2" xfId="3" applyFont="1" applyFill="1" applyBorder="1"/>
    <xf numFmtId="0" fontId="18" fillId="5" borderId="2" xfId="0" applyFont="1" applyFill="1" applyBorder="1" applyAlignment="1">
      <alignment horizontal="justify" vertical="justify"/>
    </xf>
    <xf numFmtId="0" fontId="12" fillId="5" borderId="2" xfId="0" applyFont="1" applyFill="1" applyBorder="1" applyAlignment="1">
      <alignment horizontal="center"/>
    </xf>
    <xf numFmtId="164" fontId="13" fillId="5" borderId="2" xfId="3" applyFont="1" applyFill="1" applyBorder="1"/>
    <xf numFmtId="0" fontId="7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3" fillId="5" borderId="2" xfId="3" applyFont="1" applyFill="1" applyBorder="1" applyAlignment="1">
      <alignment horizontal="center"/>
    </xf>
    <xf numFmtId="0" fontId="18" fillId="5" borderId="2" xfId="0" applyFont="1" applyFill="1" applyBorder="1" applyAlignment="1">
      <alignment horizontal="right" vertical="justify"/>
    </xf>
    <xf numFmtId="164" fontId="18" fillId="5" borderId="2" xfId="3" applyFont="1" applyFill="1" applyBorder="1" applyAlignment="1">
      <alignment horizontal="right" vertical="justify"/>
    </xf>
    <xf numFmtId="0" fontId="28" fillId="0" borderId="0" xfId="0" applyFont="1"/>
    <xf numFmtId="0" fontId="21" fillId="0" borderId="0" xfId="0" applyFont="1" applyFill="1" applyAlignment="1">
      <alignment horizontal="right"/>
    </xf>
    <xf numFmtId="164" fontId="28" fillId="0" borderId="0" xfId="3" applyNumberFormat="1" applyFont="1" applyBorder="1"/>
    <xf numFmtId="0" fontId="21" fillId="0" borderId="0" xfId="0" applyFont="1" applyFill="1"/>
    <xf numFmtId="164" fontId="28" fillId="0" borderId="0" xfId="3" applyNumberFormat="1" applyFont="1" applyFill="1" applyBorder="1"/>
    <xf numFmtId="0" fontId="29" fillId="0" borderId="0" xfId="0" applyFont="1" applyFill="1"/>
    <xf numFmtId="164" fontId="29" fillId="0" borderId="0" xfId="3" applyNumberFormat="1" applyFont="1" applyFill="1" applyBorder="1"/>
    <xf numFmtId="0" fontId="21" fillId="0" borderId="0" xfId="0" applyFont="1" applyFill="1" applyAlignment="1">
      <alignment horizontal="center"/>
    </xf>
    <xf numFmtId="164" fontId="29" fillId="0" borderId="0" xfId="3" applyNumberFormat="1" applyFont="1" applyBorder="1"/>
    <xf numFmtId="0" fontId="28" fillId="0" borderId="0" xfId="0" applyFont="1" applyFill="1" applyAlignment="1">
      <alignment horizontal="right"/>
    </xf>
    <xf numFmtId="0" fontId="28" fillId="0" borderId="0" xfId="0" applyFont="1" applyFill="1" applyAlignment="1">
      <alignment horizontal="center"/>
    </xf>
    <xf numFmtId="0" fontId="29" fillId="0" borderId="0" xfId="0" applyFont="1"/>
    <xf numFmtId="0" fontId="28" fillId="0" borderId="0" xfId="0" applyFont="1" applyFill="1"/>
    <xf numFmtId="0" fontId="28" fillId="0" borderId="0" xfId="3" applyNumberFormat="1" applyFont="1" applyFill="1" applyBorder="1"/>
    <xf numFmtId="0" fontId="28" fillId="0" borderId="0" xfId="3" applyNumberFormat="1" applyFont="1" applyBorder="1"/>
    <xf numFmtId="0" fontId="21" fillId="0" borderId="0" xfId="0" applyFont="1" applyFill="1" applyAlignment="1">
      <alignment wrapText="1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21" fillId="0" borderId="0" xfId="0" applyFont="1" applyFill="1" applyAlignment="1">
      <alignment vertical="center"/>
    </xf>
    <xf numFmtId="164" fontId="21" fillId="0" borderId="0" xfId="3" applyNumberFormat="1" applyFont="1" applyBorder="1"/>
    <xf numFmtId="164" fontId="21" fillId="4" borderId="0" xfId="3" applyFont="1" applyFill="1" applyBorder="1"/>
    <xf numFmtId="9" fontId="21" fillId="0" borderId="0" xfId="0" applyNumberFormat="1" applyFont="1" applyFill="1"/>
    <xf numFmtId="0" fontId="31" fillId="0" borderId="0" xfId="0" applyFont="1" applyFill="1"/>
    <xf numFmtId="0" fontId="21" fillId="4" borderId="0" xfId="0" applyFont="1" applyFill="1"/>
    <xf numFmtId="0" fontId="32" fillId="4" borderId="0" xfId="0" applyFont="1" applyFill="1"/>
    <xf numFmtId="0" fontId="21" fillId="4" borderId="26" xfId="0" applyFont="1" applyFill="1" applyBorder="1"/>
    <xf numFmtId="0" fontId="21" fillId="3" borderId="0" xfId="0" applyFont="1" applyFill="1"/>
    <xf numFmtId="0" fontId="33" fillId="0" borderId="0" xfId="0" applyFont="1" applyAlignment="1">
      <alignment vertical="center" wrapText="1"/>
    </xf>
    <xf numFmtId="0" fontId="21" fillId="0" borderId="0" xfId="0" applyFont="1" applyFill="1" applyBorder="1"/>
    <xf numFmtId="164" fontId="12" fillId="0" borderId="5" xfId="3" applyFont="1" applyFill="1" applyBorder="1"/>
    <xf numFmtId="164" fontId="12" fillId="3" borderId="19" xfId="3" applyFont="1" applyFill="1" applyBorder="1"/>
    <xf numFmtId="0" fontId="12" fillId="0" borderId="22" xfId="0" applyFont="1" applyBorder="1" applyAlignment="1">
      <alignment vertical="center" wrapText="1"/>
    </xf>
    <xf numFmtId="0" fontId="34" fillId="0" borderId="2" xfId="0" applyFont="1" applyFill="1" applyBorder="1" applyAlignment="1">
      <alignment horizontal="justify" vertical="justify"/>
    </xf>
    <xf numFmtId="0" fontId="12" fillId="6" borderId="2" xfId="0" applyFont="1" applyFill="1" applyBorder="1" applyAlignment="1">
      <alignment horizontal="justify" vertical="justify"/>
    </xf>
    <xf numFmtId="165" fontId="4" fillId="0" borderId="28" xfId="1" applyFont="1" applyBorder="1"/>
    <xf numFmtId="164" fontId="4" fillId="0" borderId="29" xfId="3" applyFont="1" applyBorder="1" applyAlignment="1">
      <alignment horizontal="center"/>
    </xf>
    <xf numFmtId="0" fontId="7" fillId="0" borderId="0" xfId="0" applyFont="1" applyAlignment="1">
      <alignment horizontal="left"/>
    </xf>
    <xf numFmtId="9" fontId="6" fillId="0" borderId="7" xfId="2" applyFont="1" applyFill="1" applyBorder="1" applyAlignment="1">
      <alignment horizontal="center"/>
    </xf>
    <xf numFmtId="0" fontId="12" fillId="3" borderId="2" xfId="0" applyFont="1" applyFill="1" applyBorder="1" applyAlignment="1">
      <alignment horizontal="justify" vertical="justify"/>
    </xf>
    <xf numFmtId="0" fontId="21" fillId="3" borderId="0" xfId="3" applyNumberFormat="1" applyFont="1" applyFill="1" applyBorder="1" applyAlignment="1">
      <alignment horizontal="right"/>
    </xf>
    <xf numFmtId="164" fontId="28" fillId="3" borderId="0" xfId="3" applyNumberFormat="1" applyFont="1" applyFill="1" applyBorder="1"/>
    <xf numFmtId="164" fontId="26" fillId="3" borderId="0" xfId="0" applyNumberFormat="1" applyFont="1" applyFill="1" applyBorder="1"/>
    <xf numFmtId="0" fontId="26" fillId="3" borderId="0" xfId="0" applyFont="1" applyFill="1" applyBorder="1"/>
    <xf numFmtId="164" fontId="12" fillId="3" borderId="0" xfId="3" applyNumberFormat="1" applyFont="1" applyFill="1" applyBorder="1"/>
    <xf numFmtId="0" fontId="5" fillId="3" borderId="0" xfId="0" applyFont="1" applyFill="1"/>
    <xf numFmtId="0" fontId="29" fillId="3" borderId="0" xfId="0" applyFont="1" applyFill="1" applyBorder="1"/>
    <xf numFmtId="164" fontId="1" fillId="0" borderId="0" xfId="3" applyFont="1"/>
    <xf numFmtId="0" fontId="29" fillId="0" borderId="0" xfId="0" applyFont="1" applyBorder="1" applyAlignment="1">
      <alignment horizontal="justify" vertical="justify"/>
    </xf>
    <xf numFmtId="0" fontId="28" fillId="0" borderId="0" xfId="0" applyFont="1" applyFill="1" applyBorder="1" applyAlignment="1">
      <alignment horizontal="justify" vertical="justify"/>
    </xf>
    <xf numFmtId="164" fontId="13" fillId="0" borderId="0" xfId="3" applyFont="1"/>
    <xf numFmtId="164" fontId="1" fillId="0" borderId="0" xfId="0" applyNumberFormat="1" applyFont="1" applyBorder="1"/>
    <xf numFmtId="0" fontId="12" fillId="0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justify" vertical="justify"/>
    </xf>
    <xf numFmtId="164" fontId="12" fillId="0" borderId="0" xfId="3" applyFont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 vertical="justify"/>
    </xf>
    <xf numFmtId="0" fontId="28" fillId="3" borderId="0" xfId="0" applyFont="1" applyFill="1" applyBorder="1"/>
    <xf numFmtId="164" fontId="1" fillId="0" borderId="0" xfId="3" applyFont="1" applyAlignment="1"/>
    <xf numFmtId="164" fontId="23" fillId="0" borderId="0" xfId="3" applyFont="1" applyBorder="1" applyAlignment="1">
      <alignment horizontal="right"/>
    </xf>
    <xf numFmtId="164" fontId="23" fillId="0" borderId="0" xfId="3" applyFont="1" applyBorder="1"/>
    <xf numFmtId="164" fontId="12" fillId="0" borderId="0" xfId="3" applyFont="1" applyBorder="1" applyAlignment="1">
      <alignment horizontal="center"/>
    </xf>
    <xf numFmtId="164" fontId="12" fillId="0" borderId="0" xfId="3" applyFont="1" applyBorder="1" applyAlignment="1">
      <alignment horizontal="center" vertical="justify"/>
    </xf>
    <xf numFmtId="0" fontId="12" fillId="0" borderId="2" xfId="0" applyFont="1" applyBorder="1" applyAlignment="1">
      <alignment horizontal="center" vertical="center"/>
    </xf>
    <xf numFmtId="164" fontId="12" fillId="0" borderId="2" xfId="3" applyFont="1" applyBorder="1" applyAlignment="1">
      <alignment horizontal="center" vertical="center"/>
    </xf>
    <xf numFmtId="164" fontId="1" fillId="5" borderId="2" xfId="3" applyFont="1" applyFill="1" applyBorder="1"/>
    <xf numFmtId="0" fontId="7" fillId="0" borderId="2" xfId="0" applyFont="1" applyFill="1" applyBorder="1" applyAlignment="1">
      <alignment horizontal="center"/>
    </xf>
    <xf numFmtId="164" fontId="7" fillId="0" borderId="2" xfId="3" applyFont="1" applyBorder="1"/>
    <xf numFmtId="0" fontId="7" fillId="0" borderId="2" xfId="0" applyFont="1" applyBorder="1" applyAlignment="1">
      <alignment horizontal="center"/>
    </xf>
    <xf numFmtId="164" fontId="7" fillId="0" borderId="0" xfId="3" applyFont="1" applyBorder="1"/>
    <xf numFmtId="0" fontId="7" fillId="3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wrapText="1"/>
    </xf>
    <xf numFmtId="164" fontId="26" fillId="0" borderId="0" xfId="0" applyNumberFormat="1" applyFont="1" applyFill="1" applyBorder="1"/>
    <xf numFmtId="164" fontId="18" fillId="0" borderId="0" xfId="3" applyFont="1" applyFill="1" applyBorder="1"/>
    <xf numFmtId="164" fontId="12" fillId="0" borderId="0" xfId="3" applyNumberFormat="1" applyFont="1" applyFill="1" applyBorder="1"/>
    <xf numFmtId="164" fontId="1" fillId="0" borderId="0" xfId="0" applyNumberFormat="1" applyFont="1" applyFill="1" applyBorder="1"/>
    <xf numFmtId="164" fontId="1" fillId="0" borderId="0" xfId="3" applyFont="1" applyFill="1" applyBorder="1"/>
    <xf numFmtId="167" fontId="1" fillId="0" borderId="0" xfId="0" applyNumberFormat="1" applyFont="1" applyBorder="1" applyAlignment="1">
      <alignment horizontal="center"/>
    </xf>
    <xf numFmtId="49" fontId="21" fillId="0" borderId="0" xfId="3" applyNumberFormat="1" applyFont="1" applyBorder="1" applyAlignment="1">
      <alignment horizontal="right"/>
    </xf>
    <xf numFmtId="49" fontId="21" fillId="0" borderId="0" xfId="0" applyNumberFormat="1" applyFont="1" applyAlignment="1">
      <alignment horizontal="right"/>
    </xf>
    <xf numFmtId="49" fontId="21" fillId="0" borderId="0" xfId="0" applyNumberFormat="1" applyFont="1" applyFill="1" applyAlignment="1">
      <alignment horizontal="right"/>
    </xf>
    <xf numFmtId="165" fontId="3" fillId="0" borderId="14" xfId="1" applyFont="1" applyBorder="1" applyAlignment="1"/>
    <xf numFmtId="0" fontId="12" fillId="0" borderId="0" xfId="0" applyFont="1" applyFill="1"/>
    <xf numFmtId="164" fontId="1" fillId="0" borderId="0" xfId="3" applyNumberFormat="1" applyFont="1" applyBorder="1"/>
    <xf numFmtId="0" fontId="28" fillId="3" borderId="0" xfId="3" applyNumberFormat="1" applyFont="1" applyFill="1" applyBorder="1"/>
    <xf numFmtId="0" fontId="29" fillId="0" borderId="0" xfId="3" applyNumberFormat="1" applyFont="1" applyBorder="1"/>
    <xf numFmtId="0" fontId="28" fillId="3" borderId="0" xfId="0" applyFont="1" applyFill="1" applyBorder="1" applyAlignment="1">
      <alignment horizontal="justify" vertical="justify"/>
    </xf>
    <xf numFmtId="0" fontId="1" fillId="6" borderId="0" xfId="0" applyFont="1" applyFill="1" applyBorder="1" applyAlignment="1">
      <alignment horizontal="left"/>
    </xf>
    <xf numFmtId="0" fontId="1" fillId="6" borderId="0" xfId="0" applyFont="1" applyFill="1"/>
    <xf numFmtId="0" fontId="21" fillId="3" borderId="0" xfId="0" applyFont="1" applyFill="1" applyAlignment="1">
      <alignment horizontal="right"/>
    </xf>
    <xf numFmtId="49" fontId="21" fillId="3" borderId="0" xfId="3" applyNumberFormat="1" applyFont="1" applyFill="1" applyBorder="1" applyAlignment="1">
      <alignment horizontal="right"/>
    </xf>
    <xf numFmtId="164" fontId="28" fillId="6" borderId="0" xfId="3" applyNumberFormat="1" applyFont="1" applyFill="1" applyBorder="1"/>
    <xf numFmtId="0" fontId="28" fillId="0" borderId="0" xfId="0" applyFont="1" applyBorder="1" applyAlignment="1">
      <alignment horizontal="left" vertical="center"/>
    </xf>
    <xf numFmtId="164" fontId="12" fillId="0" borderId="0" xfId="3" applyFont="1" applyBorder="1" applyAlignment="1">
      <alignment horizontal="center" vertical="justify"/>
    </xf>
    <xf numFmtId="0" fontId="18" fillId="5" borderId="11" xfId="0" applyFont="1" applyFill="1" applyBorder="1" applyAlignment="1">
      <alignment horizontal="center"/>
    </xf>
    <xf numFmtId="0" fontId="18" fillId="5" borderId="12" xfId="0" applyFont="1" applyFill="1" applyBorder="1" applyAlignment="1">
      <alignment horizontal="center"/>
    </xf>
    <xf numFmtId="0" fontId="18" fillId="5" borderId="13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12" fillId="0" borderId="2" xfId="3" applyFont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5">
    <cellStyle name="Moeda" xfId="4" builtinId="4"/>
    <cellStyle name="Moeda_Orça.timbó" xfId="1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470"/>
  <sheetViews>
    <sheetView showGridLines="0" tabSelected="1" view="pageBreakPreview" topLeftCell="A197" zoomScaleNormal="115" zoomScaleSheetLayoutView="100" workbookViewId="0">
      <selection sqref="A1:G218"/>
    </sheetView>
  </sheetViews>
  <sheetFormatPr defaultColWidth="11.42578125" defaultRowHeight="12.75" x14ac:dyDescent="0.2"/>
  <cols>
    <col min="1" max="1" width="6.140625" style="77" customWidth="1"/>
    <col min="2" max="2" width="74.5703125" style="76" customWidth="1"/>
    <col min="3" max="3" width="12.140625" style="77" bestFit="1" customWidth="1"/>
    <col min="4" max="4" width="9.42578125" style="78" bestFit="1" customWidth="1"/>
    <col min="5" max="6" width="9.42578125" style="130" customWidth="1"/>
    <col min="7" max="7" width="12.85546875" style="78" customWidth="1"/>
    <col min="8" max="8" width="28.5703125" style="76" customWidth="1"/>
    <col min="9" max="9" width="15.28515625" style="76" customWidth="1"/>
    <col min="10" max="11" width="11.42578125" style="76" customWidth="1"/>
    <col min="12" max="12" width="10.140625" style="78" customWidth="1"/>
    <col min="13" max="16384" width="11.42578125" style="76"/>
  </cols>
  <sheetData>
    <row r="1" spans="1:13" ht="15.75" x14ac:dyDescent="0.25">
      <c r="A1" s="75" t="s">
        <v>19</v>
      </c>
      <c r="F1" s="155" t="s">
        <v>103</v>
      </c>
      <c r="G1" s="179">
        <v>0.22</v>
      </c>
      <c r="I1" s="98"/>
      <c r="J1" s="208"/>
      <c r="K1" s="208"/>
    </row>
    <row r="2" spans="1:13" x14ac:dyDescent="0.2">
      <c r="A2" s="269" t="s">
        <v>346</v>
      </c>
      <c r="G2" s="194">
        <f>1+G1</f>
        <v>1.22</v>
      </c>
      <c r="J2" s="208"/>
      <c r="K2" s="208"/>
    </row>
    <row r="3" spans="1:13" x14ac:dyDescent="0.2">
      <c r="A3" s="79"/>
      <c r="B3" s="80"/>
      <c r="C3" s="79"/>
      <c r="D3" s="81"/>
      <c r="E3" s="131"/>
      <c r="F3" s="131"/>
      <c r="G3" s="81"/>
      <c r="J3" s="208"/>
      <c r="K3" s="209"/>
      <c r="L3" s="81"/>
      <c r="M3" s="80"/>
    </row>
    <row r="4" spans="1:13" x14ac:dyDescent="0.2">
      <c r="A4" s="326" t="s">
        <v>41</v>
      </c>
      <c r="B4" s="327"/>
      <c r="C4" s="327"/>
      <c r="D4" s="327"/>
      <c r="E4" s="327"/>
      <c r="F4" s="327"/>
      <c r="G4" s="328"/>
      <c r="I4" s="80"/>
      <c r="J4" s="210"/>
      <c r="K4" s="209"/>
      <c r="L4" s="80"/>
      <c r="M4" s="80"/>
    </row>
    <row r="5" spans="1:13" x14ac:dyDescent="0.2">
      <c r="A5" s="82" t="s">
        <v>14</v>
      </c>
      <c r="B5" s="141" t="s">
        <v>530</v>
      </c>
      <c r="C5" s="83"/>
      <c r="D5" s="84"/>
      <c r="E5" s="132"/>
      <c r="F5" s="132"/>
      <c r="G5" s="85"/>
      <c r="I5" s="119"/>
      <c r="J5" s="210"/>
      <c r="K5" s="209"/>
      <c r="L5" s="86"/>
      <c r="M5" s="80"/>
    </row>
    <row r="6" spans="1:13" x14ac:dyDescent="0.2">
      <c r="A6" s="87" t="s">
        <v>213</v>
      </c>
      <c r="B6" s="88" t="s">
        <v>237</v>
      </c>
      <c r="D6" s="89"/>
      <c r="E6" s="133"/>
      <c r="F6" s="133"/>
      <c r="G6" s="90"/>
      <c r="I6" s="80"/>
      <c r="J6" s="209"/>
      <c r="K6" s="209"/>
      <c r="L6" s="89"/>
      <c r="M6" s="80"/>
    </row>
    <row r="7" spans="1:13" x14ac:dyDescent="0.2">
      <c r="A7" s="142" t="s">
        <v>356</v>
      </c>
      <c r="B7" s="102"/>
      <c r="C7" s="103"/>
      <c r="D7" s="89"/>
      <c r="E7" s="133"/>
      <c r="F7" s="133"/>
      <c r="G7" s="90"/>
      <c r="I7" s="80"/>
      <c r="J7" s="209"/>
      <c r="K7" s="209"/>
      <c r="L7" s="89"/>
    </row>
    <row r="8" spans="1:13" ht="12.75" customHeight="1" x14ac:dyDescent="0.2">
      <c r="A8" s="329" t="s">
        <v>0</v>
      </c>
      <c r="B8" s="329" t="s">
        <v>11</v>
      </c>
      <c r="C8" s="329" t="s">
        <v>12</v>
      </c>
      <c r="D8" s="331" t="s">
        <v>13</v>
      </c>
      <c r="E8" s="134" t="s">
        <v>101</v>
      </c>
      <c r="F8" s="134" t="s">
        <v>45</v>
      </c>
      <c r="G8" s="97" t="s">
        <v>102</v>
      </c>
      <c r="I8" s="80"/>
      <c r="J8" s="209"/>
      <c r="K8" s="209"/>
      <c r="L8" s="325"/>
    </row>
    <row r="9" spans="1:13" x14ac:dyDescent="0.2">
      <c r="A9" s="329"/>
      <c r="B9" s="330"/>
      <c r="C9" s="329"/>
      <c r="D9" s="331"/>
      <c r="E9" s="135" t="s">
        <v>25</v>
      </c>
      <c r="F9" s="135" t="s">
        <v>25</v>
      </c>
      <c r="G9" s="118" t="s">
        <v>25</v>
      </c>
      <c r="I9" s="80"/>
      <c r="J9" s="209"/>
      <c r="K9" s="209"/>
      <c r="L9" s="325"/>
    </row>
    <row r="10" spans="1:13" s="143" customFormat="1" x14ac:dyDescent="0.2">
      <c r="A10" s="226">
        <v>1</v>
      </c>
      <c r="B10" s="219" t="s">
        <v>239</v>
      </c>
      <c r="C10" s="227"/>
      <c r="D10" s="297"/>
      <c r="E10" s="221"/>
      <c r="F10" s="221"/>
      <c r="G10" s="222"/>
      <c r="H10" s="231"/>
      <c r="I10" s="199"/>
      <c r="J10" s="209"/>
      <c r="K10" s="209"/>
      <c r="L10" s="294"/>
    </row>
    <row r="11" spans="1:13" s="143" customFormat="1" x14ac:dyDescent="0.2">
      <c r="A11" s="295" t="s">
        <v>32</v>
      </c>
      <c r="B11" s="112" t="s">
        <v>240</v>
      </c>
      <c r="C11" s="295" t="s">
        <v>241</v>
      </c>
      <c r="D11" s="296">
        <v>1</v>
      </c>
      <c r="E11" s="135">
        <v>250</v>
      </c>
      <c r="F11" s="138">
        <f>ROUND(E11*$G$2,2)</f>
        <v>305</v>
      </c>
      <c r="G11" s="110">
        <f>ROUND(F11*D11,2)</f>
        <v>305</v>
      </c>
      <c r="H11" s="231"/>
      <c r="I11" s="199"/>
      <c r="J11" s="209"/>
      <c r="K11" s="209"/>
      <c r="L11" s="294"/>
    </row>
    <row r="12" spans="1:13" s="143" customFormat="1" hidden="1" x14ac:dyDescent="0.2">
      <c r="A12" s="295" t="s">
        <v>1</v>
      </c>
      <c r="B12" s="266" t="s">
        <v>269</v>
      </c>
      <c r="C12" s="111" t="s">
        <v>3</v>
      </c>
      <c r="D12" s="296">
        <v>0</v>
      </c>
      <c r="E12" s="136">
        <v>49.49</v>
      </c>
      <c r="F12" s="138">
        <f>ROUND(E12*$G$2,2)</f>
        <v>60.38</v>
      </c>
      <c r="G12" s="110">
        <f>ROUND(F12*D12,2)</f>
        <v>0</v>
      </c>
      <c r="H12" s="232" t="s">
        <v>225</v>
      </c>
      <c r="I12" s="199"/>
      <c r="J12" s="209"/>
      <c r="K12" s="209"/>
      <c r="L12" s="294"/>
    </row>
    <row r="13" spans="1:13" s="143" customFormat="1" x14ac:dyDescent="0.2">
      <c r="A13" s="295" t="s">
        <v>1</v>
      </c>
      <c r="B13" s="154" t="s">
        <v>353</v>
      </c>
      <c r="C13" s="111" t="s">
        <v>3</v>
      </c>
      <c r="D13" s="296">
        <v>9</v>
      </c>
      <c r="E13" s="135">
        <v>564.54</v>
      </c>
      <c r="F13" s="138">
        <f>ROUND(E13*$G$2,2)</f>
        <v>688.74</v>
      </c>
      <c r="G13" s="110">
        <f>ROUND(F13*D13,2)</f>
        <v>6198.66</v>
      </c>
      <c r="H13" s="232">
        <v>93584</v>
      </c>
      <c r="I13" s="199"/>
      <c r="J13" s="209"/>
      <c r="K13" s="209"/>
      <c r="L13" s="294"/>
    </row>
    <row r="14" spans="1:13" s="143" customFormat="1" x14ac:dyDescent="0.2">
      <c r="A14" s="295" t="s">
        <v>2</v>
      </c>
      <c r="B14" s="112" t="s">
        <v>246</v>
      </c>
      <c r="C14" s="111" t="s">
        <v>3</v>
      </c>
      <c r="D14" s="115">
        <v>3</v>
      </c>
      <c r="E14" s="136">
        <v>310.27</v>
      </c>
      <c r="F14" s="138">
        <f t="shared" ref="F14:F19" si="0">ROUND(E14*$G$2,2)</f>
        <v>378.53</v>
      </c>
      <c r="G14" s="110">
        <f t="shared" ref="G14:G19" si="1">ROUND(F14*D14,2)</f>
        <v>1135.5899999999999</v>
      </c>
      <c r="H14" s="232" t="s">
        <v>224</v>
      </c>
      <c r="I14" s="199"/>
      <c r="J14" s="209"/>
      <c r="K14" s="209"/>
      <c r="L14" s="294"/>
    </row>
    <row r="15" spans="1:13" s="143" customFormat="1" x14ac:dyDescent="0.2">
      <c r="A15" s="295" t="s">
        <v>99</v>
      </c>
      <c r="B15" s="112" t="s">
        <v>223</v>
      </c>
      <c r="C15" s="111" t="s">
        <v>3</v>
      </c>
      <c r="D15" s="115">
        <v>160.63</v>
      </c>
      <c r="E15" s="136">
        <v>4.43</v>
      </c>
      <c r="F15" s="138">
        <f t="shared" si="0"/>
        <v>5.4</v>
      </c>
      <c r="G15" s="110">
        <f t="shared" si="1"/>
        <v>867.4</v>
      </c>
      <c r="H15" s="232" t="s">
        <v>210</v>
      </c>
      <c r="I15" s="199"/>
      <c r="J15" s="209"/>
      <c r="K15" s="209"/>
      <c r="L15" s="294"/>
    </row>
    <row r="16" spans="1:13" s="143" customFormat="1" x14ac:dyDescent="0.2">
      <c r="A16" s="295"/>
      <c r="B16" s="114" t="s">
        <v>36</v>
      </c>
      <c r="C16" s="295"/>
      <c r="D16" s="296"/>
      <c r="E16" s="135"/>
      <c r="F16" s="135"/>
      <c r="G16" s="121">
        <f>SUM(G11:G15)</f>
        <v>8506.65</v>
      </c>
      <c r="H16" s="231"/>
      <c r="I16" s="199"/>
      <c r="J16" s="209"/>
      <c r="K16" s="209"/>
      <c r="L16" s="294"/>
    </row>
    <row r="17" spans="1:12" s="143" customFormat="1" x14ac:dyDescent="0.2">
      <c r="A17" s="226">
        <v>2</v>
      </c>
      <c r="B17" s="219" t="s">
        <v>248</v>
      </c>
      <c r="C17" s="227"/>
      <c r="D17" s="297"/>
      <c r="E17" s="221"/>
      <c r="F17" s="221"/>
      <c r="G17" s="222"/>
      <c r="H17" s="231"/>
      <c r="I17" s="233"/>
      <c r="J17" s="211"/>
      <c r="K17" s="209"/>
      <c r="L17" s="95"/>
    </row>
    <row r="18" spans="1:12" s="143" customFormat="1" x14ac:dyDescent="0.2">
      <c r="A18" s="295" t="s">
        <v>15</v>
      </c>
      <c r="B18" s="112" t="s">
        <v>570</v>
      </c>
      <c r="C18" s="111" t="s">
        <v>3</v>
      </c>
      <c r="D18" s="115">
        <f>9+9+2+10.5+4</f>
        <v>34.5</v>
      </c>
      <c r="E18" s="135">
        <v>1.32</v>
      </c>
      <c r="F18" s="138">
        <f t="shared" si="0"/>
        <v>1.61</v>
      </c>
      <c r="G18" s="110">
        <f t="shared" si="1"/>
        <v>55.55</v>
      </c>
      <c r="H18" s="321">
        <v>72238</v>
      </c>
      <c r="I18" s="199">
        <v>97640</v>
      </c>
      <c r="J18" s="209"/>
      <c r="K18" s="209"/>
      <c r="L18" s="294"/>
    </row>
    <row r="19" spans="1:12" s="143" customFormat="1" x14ac:dyDescent="0.2">
      <c r="A19" s="295" t="s">
        <v>354</v>
      </c>
      <c r="B19" s="112" t="s">
        <v>355</v>
      </c>
      <c r="C19" s="111" t="s">
        <v>4</v>
      </c>
      <c r="D19" s="115">
        <f>0.36*2.1</f>
        <v>0.75600000000000001</v>
      </c>
      <c r="E19" s="135">
        <v>79.8</v>
      </c>
      <c r="F19" s="138">
        <f t="shared" si="0"/>
        <v>97.36</v>
      </c>
      <c r="G19" s="110">
        <f t="shared" si="1"/>
        <v>73.599999999999994</v>
      </c>
      <c r="H19" s="321" t="s">
        <v>229</v>
      </c>
      <c r="I19" s="199">
        <v>97624</v>
      </c>
      <c r="J19" s="209"/>
      <c r="K19" s="209"/>
      <c r="L19" s="294"/>
    </row>
    <row r="20" spans="1:12" s="143" customFormat="1" x14ac:dyDescent="0.2">
      <c r="A20" s="295"/>
      <c r="B20" s="114" t="s">
        <v>36</v>
      </c>
      <c r="C20" s="111"/>
      <c r="D20" s="115"/>
      <c r="E20" s="135"/>
      <c r="F20" s="263"/>
      <c r="G20" s="121">
        <f>SUM(G18:G19)</f>
        <v>129.14999999999998</v>
      </c>
      <c r="H20" s="232"/>
      <c r="I20" s="199"/>
      <c r="J20" s="209"/>
      <c r="K20" s="209"/>
      <c r="L20" s="294"/>
    </row>
    <row r="21" spans="1:12" s="143" customFormat="1" x14ac:dyDescent="0.2">
      <c r="A21" s="226">
        <v>3</v>
      </c>
      <c r="B21" s="219" t="s">
        <v>105</v>
      </c>
      <c r="C21" s="227"/>
      <c r="D21" s="297"/>
      <c r="E21" s="221"/>
      <c r="F21" s="221"/>
      <c r="G21" s="222"/>
      <c r="H21" s="231"/>
      <c r="I21" s="233"/>
      <c r="J21" s="211"/>
      <c r="K21" s="209"/>
      <c r="L21" s="95"/>
    </row>
    <row r="22" spans="1:12" s="150" customFormat="1" x14ac:dyDescent="0.2">
      <c r="A22" s="111" t="s">
        <v>55</v>
      </c>
      <c r="B22" s="112" t="s">
        <v>220</v>
      </c>
      <c r="C22" s="111" t="s">
        <v>4</v>
      </c>
      <c r="D22" s="115">
        <f>42.64*0.2</f>
        <v>8.5280000000000005</v>
      </c>
      <c r="E22" s="136">
        <v>63.92</v>
      </c>
      <c r="F22" s="138">
        <f>ROUND(E22*$G$2,2)</f>
        <v>77.98</v>
      </c>
      <c r="G22" s="110">
        <f>ROUND(F22*D22,2)</f>
        <v>665.01</v>
      </c>
      <c r="H22" s="232">
        <v>93358</v>
      </c>
      <c r="I22" s="233"/>
      <c r="J22" s="211"/>
      <c r="K22" s="212"/>
      <c r="L22" s="92"/>
    </row>
    <row r="23" spans="1:12" s="143" customFormat="1" hidden="1" x14ac:dyDescent="0.2">
      <c r="A23" s="111" t="s">
        <v>2</v>
      </c>
      <c r="B23" s="112" t="s">
        <v>219</v>
      </c>
      <c r="C23" s="111" t="s">
        <v>9</v>
      </c>
      <c r="D23" s="115"/>
      <c r="E23" s="136">
        <v>3.34</v>
      </c>
      <c r="F23" s="138">
        <f t="shared" ref="F23:F30" si="2">ROUND(E23*$G$2,2)</f>
        <v>4.07</v>
      </c>
      <c r="G23" s="110">
        <f t="shared" ref="G23:G31" si="3">ROUND(F23*D23,2)</f>
        <v>0</v>
      </c>
      <c r="H23" s="232">
        <v>85411</v>
      </c>
      <c r="I23" s="233"/>
      <c r="J23" s="211"/>
      <c r="K23" s="209"/>
      <c r="L23" s="92"/>
    </row>
    <row r="24" spans="1:12" s="143" customFormat="1" hidden="1" x14ac:dyDescent="0.2">
      <c r="A24" s="111"/>
      <c r="B24" s="112" t="s">
        <v>218</v>
      </c>
      <c r="C24" s="111" t="s">
        <v>3</v>
      </c>
      <c r="D24" s="115"/>
      <c r="E24" s="136">
        <v>23.61</v>
      </c>
      <c r="F24" s="138">
        <f t="shared" si="2"/>
        <v>28.8</v>
      </c>
      <c r="G24" s="110">
        <f t="shared" si="3"/>
        <v>0</v>
      </c>
      <c r="H24" s="232" t="s">
        <v>155</v>
      </c>
      <c r="I24" s="233"/>
      <c r="J24" s="211"/>
      <c r="K24" s="209"/>
      <c r="L24" s="92"/>
    </row>
    <row r="25" spans="1:12" s="143" customFormat="1" hidden="1" x14ac:dyDescent="0.2">
      <c r="A25" s="111" t="s">
        <v>2</v>
      </c>
      <c r="B25" s="112" t="s">
        <v>142</v>
      </c>
      <c r="C25" s="111" t="s">
        <v>3</v>
      </c>
      <c r="D25" s="115"/>
      <c r="E25" s="136">
        <v>12.34</v>
      </c>
      <c r="F25" s="138">
        <f t="shared" si="2"/>
        <v>15.05</v>
      </c>
      <c r="G25" s="110">
        <f t="shared" si="3"/>
        <v>0</v>
      </c>
      <c r="H25" s="234" t="s">
        <v>155</v>
      </c>
      <c r="I25" s="235"/>
      <c r="J25" s="211"/>
      <c r="K25" s="209"/>
      <c r="L25" s="92"/>
    </row>
    <row r="26" spans="1:12" s="143" customFormat="1" hidden="1" x14ac:dyDescent="0.2">
      <c r="A26" s="111" t="s">
        <v>2</v>
      </c>
      <c r="B26" s="112"/>
      <c r="C26" s="111" t="s">
        <v>4</v>
      </c>
      <c r="D26" s="115"/>
      <c r="E26" s="136">
        <v>71.27</v>
      </c>
      <c r="F26" s="138">
        <f t="shared" si="2"/>
        <v>86.95</v>
      </c>
      <c r="G26" s="110">
        <f t="shared" si="3"/>
        <v>0</v>
      </c>
      <c r="H26" s="232" t="s">
        <v>229</v>
      </c>
      <c r="I26" s="235"/>
      <c r="J26" s="211"/>
      <c r="K26" s="209"/>
      <c r="L26" s="92"/>
    </row>
    <row r="27" spans="1:12" s="143" customFormat="1" hidden="1" x14ac:dyDescent="0.2">
      <c r="A27" s="111" t="s">
        <v>99</v>
      </c>
      <c r="B27" s="112" t="s">
        <v>238</v>
      </c>
      <c r="C27" s="111" t="s">
        <v>3</v>
      </c>
      <c r="D27" s="115"/>
      <c r="E27" s="136">
        <v>368.13</v>
      </c>
      <c r="F27" s="138">
        <f t="shared" si="2"/>
        <v>449.12</v>
      </c>
      <c r="G27" s="110">
        <f t="shared" si="3"/>
        <v>0</v>
      </c>
      <c r="H27" s="232" t="s">
        <v>224</v>
      </c>
      <c r="I27" s="235"/>
      <c r="J27" s="211"/>
      <c r="K27" s="209"/>
      <c r="L27" s="92"/>
    </row>
    <row r="28" spans="1:12" s="143" customFormat="1" hidden="1" x14ac:dyDescent="0.2">
      <c r="A28" s="111" t="s">
        <v>104</v>
      </c>
      <c r="B28" s="206" t="s">
        <v>226</v>
      </c>
      <c r="C28" s="111" t="s">
        <v>4</v>
      </c>
      <c r="D28" s="115"/>
      <c r="E28" s="136">
        <v>18.53</v>
      </c>
      <c r="F28" s="138">
        <f t="shared" si="2"/>
        <v>22.61</v>
      </c>
      <c r="G28" s="110">
        <f t="shared" si="3"/>
        <v>0</v>
      </c>
      <c r="H28" s="234"/>
      <c r="I28" s="235"/>
      <c r="J28" s="211"/>
      <c r="K28" s="209"/>
      <c r="L28" s="92"/>
    </row>
    <row r="29" spans="1:12" s="143" customFormat="1" hidden="1" x14ac:dyDescent="0.2">
      <c r="A29" s="111" t="s">
        <v>104</v>
      </c>
      <c r="B29" s="112" t="s">
        <v>144</v>
      </c>
      <c r="C29" s="111" t="s">
        <v>3</v>
      </c>
      <c r="D29" s="115"/>
      <c r="E29" s="136">
        <v>30.25</v>
      </c>
      <c r="F29" s="138">
        <f t="shared" si="2"/>
        <v>36.909999999999997</v>
      </c>
      <c r="G29" s="110">
        <f t="shared" si="3"/>
        <v>0</v>
      </c>
      <c r="H29" s="234"/>
      <c r="I29" s="235"/>
      <c r="J29" s="211"/>
      <c r="K29" s="209"/>
      <c r="L29" s="92"/>
    </row>
    <row r="30" spans="1:12" s="143" customFormat="1" ht="22.5" hidden="1" x14ac:dyDescent="0.2">
      <c r="A30" s="111" t="s">
        <v>114</v>
      </c>
      <c r="B30" s="112" t="s">
        <v>236</v>
      </c>
      <c r="C30" s="111" t="s">
        <v>3</v>
      </c>
      <c r="D30" s="115"/>
      <c r="E30" s="136">
        <v>49.49</v>
      </c>
      <c r="F30" s="138">
        <f t="shared" si="2"/>
        <v>60.38</v>
      </c>
      <c r="G30" s="110">
        <f t="shared" si="3"/>
        <v>0</v>
      </c>
      <c r="H30" s="232" t="s">
        <v>225</v>
      </c>
      <c r="I30" s="235"/>
      <c r="J30" s="211"/>
      <c r="K30" s="209"/>
      <c r="L30" s="92"/>
    </row>
    <row r="31" spans="1:12" s="143" customFormat="1" hidden="1" x14ac:dyDescent="0.2">
      <c r="A31" s="111" t="s">
        <v>193</v>
      </c>
      <c r="B31" s="112" t="s">
        <v>223</v>
      </c>
      <c r="C31" s="111" t="s">
        <v>3</v>
      </c>
      <c r="D31" s="115"/>
      <c r="E31" s="136">
        <v>4.2300000000000004</v>
      </c>
      <c r="F31" s="138">
        <f>ROUND(E31*$G$2,2)</f>
        <v>5.16</v>
      </c>
      <c r="G31" s="110">
        <f t="shared" si="3"/>
        <v>0</v>
      </c>
      <c r="H31" s="232" t="s">
        <v>210</v>
      </c>
      <c r="I31" s="235"/>
      <c r="J31" s="211"/>
      <c r="K31" s="209"/>
      <c r="L31" s="92"/>
    </row>
    <row r="32" spans="1:12" s="12" customFormat="1" x14ac:dyDescent="0.2">
      <c r="A32" s="298"/>
      <c r="B32" s="114" t="s">
        <v>36</v>
      </c>
      <c r="C32" s="298"/>
      <c r="D32" s="299"/>
      <c r="E32" s="137"/>
      <c r="F32" s="137"/>
      <c r="G32" s="121">
        <f>SUM(G22:G31)</f>
        <v>665.01</v>
      </c>
      <c r="H32" s="236"/>
      <c r="I32" s="237"/>
      <c r="J32" s="213"/>
      <c r="K32" s="214"/>
      <c r="L32" s="123"/>
    </row>
    <row r="33" spans="1:12" s="143" customFormat="1" x14ac:dyDescent="0.2">
      <c r="A33" s="226">
        <v>4</v>
      </c>
      <c r="B33" s="219" t="s">
        <v>100</v>
      </c>
      <c r="C33" s="227"/>
      <c r="D33" s="297"/>
      <c r="E33" s="221"/>
      <c r="F33" s="221"/>
      <c r="G33" s="222"/>
      <c r="H33" s="232"/>
      <c r="I33" s="232"/>
      <c r="J33" s="211"/>
      <c r="K33" s="209"/>
      <c r="L33" s="95"/>
    </row>
    <row r="34" spans="1:12" s="143" customFormat="1" x14ac:dyDescent="0.2">
      <c r="A34" s="111" t="s">
        <v>57</v>
      </c>
      <c r="B34" s="112" t="s">
        <v>227</v>
      </c>
      <c r="C34" s="111" t="s">
        <v>4</v>
      </c>
      <c r="D34" s="115">
        <f>1.1*1.1*0.3*6</f>
        <v>2.1780000000000004</v>
      </c>
      <c r="E34" s="136">
        <v>804.21</v>
      </c>
      <c r="F34" s="138">
        <f t="shared" ref="F34:F40" si="4">ROUND(E34*$G$2,2)</f>
        <v>981.14</v>
      </c>
      <c r="G34" s="110">
        <f t="shared" ref="G34:G40" si="5">ROUND(F34*D34,2)</f>
        <v>2136.92</v>
      </c>
      <c r="H34" s="321" t="s">
        <v>211</v>
      </c>
      <c r="I34" s="232" t="s">
        <v>212</v>
      </c>
      <c r="J34" s="211"/>
      <c r="K34" s="209"/>
      <c r="L34" s="95"/>
    </row>
    <row r="35" spans="1:12" s="143" customFormat="1" x14ac:dyDescent="0.2">
      <c r="A35" s="111" t="s">
        <v>515</v>
      </c>
      <c r="B35" s="112" t="s">
        <v>428</v>
      </c>
      <c r="C35" s="111" t="s">
        <v>4</v>
      </c>
      <c r="D35" s="115">
        <f>0.8*0.8*0.3*7</f>
        <v>1.3440000000000003</v>
      </c>
      <c r="E35" s="136">
        <v>1019.64</v>
      </c>
      <c r="F35" s="138">
        <f t="shared" si="4"/>
        <v>1243.96</v>
      </c>
      <c r="G35" s="110">
        <f t="shared" si="5"/>
        <v>1671.88</v>
      </c>
      <c r="H35" s="321" t="s">
        <v>216</v>
      </c>
      <c r="I35" s="232" t="s">
        <v>212</v>
      </c>
      <c r="J35" s="211"/>
      <c r="K35" s="209"/>
      <c r="L35" s="95"/>
    </row>
    <row r="36" spans="1:12" s="143" customFormat="1" x14ac:dyDescent="0.2">
      <c r="A36" s="111" t="s">
        <v>251</v>
      </c>
      <c r="B36" s="112" t="s">
        <v>270</v>
      </c>
      <c r="C36" s="111" t="s">
        <v>4</v>
      </c>
      <c r="D36" s="110">
        <f>0.15*0.4*48</f>
        <v>2.88</v>
      </c>
      <c r="E36" s="136">
        <v>1703.14</v>
      </c>
      <c r="F36" s="138">
        <f t="shared" si="4"/>
        <v>2077.83</v>
      </c>
      <c r="G36" s="110">
        <f t="shared" si="5"/>
        <v>5984.15</v>
      </c>
      <c r="H36" s="321" t="s">
        <v>221</v>
      </c>
      <c r="I36" s="232" t="s">
        <v>212</v>
      </c>
      <c r="J36" s="211"/>
      <c r="K36" s="209"/>
      <c r="L36" s="92"/>
    </row>
    <row r="37" spans="1:12" s="143" customFormat="1" x14ac:dyDescent="0.2">
      <c r="A37" s="111" t="s">
        <v>252</v>
      </c>
      <c r="B37" s="112" t="s">
        <v>510</v>
      </c>
      <c r="C37" s="111" t="s">
        <v>4</v>
      </c>
      <c r="D37" s="110">
        <f>42.64*0.04</f>
        <v>1.7056</v>
      </c>
      <c r="E37" s="136">
        <v>101.05</v>
      </c>
      <c r="F37" s="138">
        <f t="shared" si="4"/>
        <v>123.28</v>
      </c>
      <c r="G37" s="110">
        <f t="shared" si="5"/>
        <v>210.27</v>
      </c>
      <c r="H37" s="232">
        <v>6514</v>
      </c>
      <c r="I37" s="232"/>
      <c r="J37" s="211"/>
      <c r="K37" s="209"/>
      <c r="L37" s="92"/>
    </row>
    <row r="38" spans="1:12" s="143" customFormat="1" x14ac:dyDescent="0.2">
      <c r="A38" s="111" t="s">
        <v>253</v>
      </c>
      <c r="B38" s="112" t="s">
        <v>509</v>
      </c>
      <c r="C38" s="111" t="s">
        <v>4</v>
      </c>
      <c r="D38" s="115">
        <f>42.64*0.08</f>
        <v>3.4112</v>
      </c>
      <c r="E38" s="136">
        <v>505.8</v>
      </c>
      <c r="F38" s="138">
        <f t="shared" si="4"/>
        <v>617.08000000000004</v>
      </c>
      <c r="G38" s="110">
        <f t="shared" si="5"/>
        <v>2104.98</v>
      </c>
      <c r="H38" s="232">
        <v>92741</v>
      </c>
      <c r="I38" s="233"/>
      <c r="J38" s="211"/>
      <c r="K38" s="209"/>
      <c r="L38" s="92"/>
    </row>
    <row r="39" spans="1:12" s="143" customFormat="1" x14ac:dyDescent="0.2">
      <c r="A39" s="111" t="s">
        <v>429</v>
      </c>
      <c r="B39" s="112" t="s">
        <v>507</v>
      </c>
      <c r="C39" s="111" t="s">
        <v>3</v>
      </c>
      <c r="D39" s="115">
        <v>42.64</v>
      </c>
      <c r="E39" s="136">
        <v>9.76</v>
      </c>
      <c r="F39" s="138">
        <f t="shared" ref="F39" si="6">ROUND(E39*$G$2,2)</f>
        <v>11.91</v>
      </c>
      <c r="G39" s="110">
        <f t="shared" ref="G39" si="7">ROUND(F39*D39,2)</f>
        <v>507.84</v>
      </c>
      <c r="H39" s="232">
        <v>85662</v>
      </c>
      <c r="I39" s="233"/>
      <c r="J39" s="211"/>
      <c r="K39" s="209"/>
      <c r="L39" s="92"/>
    </row>
    <row r="40" spans="1:12" s="143" customFormat="1" x14ac:dyDescent="0.2">
      <c r="A40" s="111" t="s">
        <v>511</v>
      </c>
      <c r="B40" s="112" t="s">
        <v>508</v>
      </c>
      <c r="C40" s="111" t="s">
        <v>3</v>
      </c>
      <c r="D40" s="115">
        <f>52.5+47.04</f>
        <v>99.539999999999992</v>
      </c>
      <c r="E40" s="136">
        <v>44.02</v>
      </c>
      <c r="F40" s="138">
        <f t="shared" si="4"/>
        <v>53.7</v>
      </c>
      <c r="G40" s="110">
        <f t="shared" si="5"/>
        <v>5345.3</v>
      </c>
      <c r="H40" s="232">
        <v>87747</v>
      </c>
      <c r="I40" s="232"/>
      <c r="J40" s="211"/>
      <c r="K40" s="209"/>
      <c r="L40" s="92"/>
    </row>
    <row r="41" spans="1:12" s="12" customFormat="1" x14ac:dyDescent="0.2">
      <c r="A41" s="298"/>
      <c r="B41" s="114" t="s">
        <v>36</v>
      </c>
      <c r="C41" s="298"/>
      <c r="D41" s="299"/>
      <c r="E41" s="137"/>
      <c r="F41" s="137"/>
      <c r="G41" s="121">
        <f>SUM(G34:G40)</f>
        <v>17961.34</v>
      </c>
      <c r="H41" s="232"/>
      <c r="I41" s="239"/>
      <c r="J41" s="213"/>
      <c r="K41" s="214"/>
      <c r="L41" s="123"/>
    </row>
    <row r="42" spans="1:12" s="150" customFormat="1" x14ac:dyDescent="0.2">
      <c r="A42" s="226">
        <v>5</v>
      </c>
      <c r="B42" s="219" t="s">
        <v>5</v>
      </c>
      <c r="C42" s="227"/>
      <c r="D42" s="297"/>
      <c r="E42" s="221"/>
      <c r="F42" s="221"/>
      <c r="G42" s="222"/>
      <c r="H42" s="232"/>
      <c r="I42" s="233"/>
      <c r="J42" s="211"/>
      <c r="K42" s="212"/>
      <c r="L42" s="92"/>
    </row>
    <row r="43" spans="1:12" s="150" customFormat="1" hidden="1" x14ac:dyDescent="0.2">
      <c r="A43" s="300"/>
      <c r="B43" s="112"/>
      <c r="C43" s="111" t="s">
        <v>3</v>
      </c>
      <c r="D43" s="110"/>
      <c r="E43" s="136"/>
      <c r="F43" s="138">
        <f>ROUND(E43*$G$2,2)</f>
        <v>0</v>
      </c>
      <c r="G43" s="110">
        <f>ROUND(F43*D43,2)</f>
        <v>0</v>
      </c>
      <c r="H43" s="232"/>
      <c r="I43" s="233"/>
      <c r="J43" s="211"/>
      <c r="K43" s="212"/>
      <c r="L43" s="92"/>
    </row>
    <row r="44" spans="1:12" s="150" customFormat="1" ht="33.75" hidden="1" x14ac:dyDescent="0.2">
      <c r="A44" s="111" t="s">
        <v>55</v>
      </c>
      <c r="B44" s="112" t="s">
        <v>230</v>
      </c>
      <c r="C44" s="111" t="s">
        <v>3</v>
      </c>
      <c r="D44" s="115"/>
      <c r="E44" s="136">
        <v>40.46</v>
      </c>
      <c r="F44" s="138">
        <f t="shared" ref="F44:F60" si="8">ROUND(E44*$G$2,2)</f>
        <v>49.36</v>
      </c>
      <c r="G44" s="110">
        <f t="shared" ref="G44:G56" si="9">ROUND(F44*D44,2)</f>
        <v>0</v>
      </c>
      <c r="H44" s="232">
        <v>87269</v>
      </c>
      <c r="I44" s="233"/>
      <c r="J44" s="211"/>
      <c r="K44" s="212"/>
      <c r="L44" s="92"/>
    </row>
    <row r="45" spans="1:12" s="150" customFormat="1" x14ac:dyDescent="0.2">
      <c r="A45" s="111" t="s">
        <v>16</v>
      </c>
      <c r="B45" s="112" t="s">
        <v>244</v>
      </c>
      <c r="C45" s="111" t="s">
        <v>3</v>
      </c>
      <c r="D45" s="115">
        <f>99.54</f>
        <v>99.54</v>
      </c>
      <c r="E45" s="136">
        <v>30.62</v>
      </c>
      <c r="F45" s="138">
        <f t="shared" si="8"/>
        <v>37.36</v>
      </c>
      <c r="G45" s="110">
        <f t="shared" si="9"/>
        <v>3718.81</v>
      </c>
      <c r="H45" s="232">
        <v>87248</v>
      </c>
      <c r="I45" s="233"/>
      <c r="J45" s="211"/>
      <c r="K45" s="212"/>
      <c r="L45" s="92"/>
    </row>
    <row r="46" spans="1:12" s="150" customFormat="1" ht="22.5" hidden="1" x14ac:dyDescent="0.2">
      <c r="A46" s="111" t="s">
        <v>56</v>
      </c>
      <c r="B46" s="112" t="s">
        <v>203</v>
      </c>
      <c r="C46" s="111" t="s">
        <v>3</v>
      </c>
      <c r="D46" s="110"/>
      <c r="E46" s="136">
        <v>45.4</v>
      </c>
      <c r="F46" s="138">
        <f t="shared" si="8"/>
        <v>55.39</v>
      </c>
      <c r="G46" s="110">
        <f t="shared" si="9"/>
        <v>0</v>
      </c>
      <c r="H46" s="232" t="s">
        <v>202</v>
      </c>
      <c r="I46" s="233"/>
      <c r="J46" s="211"/>
      <c r="K46" s="212"/>
      <c r="L46" s="92"/>
    </row>
    <row r="47" spans="1:12" s="150" customFormat="1" hidden="1" x14ac:dyDescent="0.2">
      <c r="A47" s="300"/>
      <c r="B47" s="197"/>
      <c r="C47" s="111" t="s">
        <v>3</v>
      </c>
      <c r="D47" s="110"/>
      <c r="E47" s="136"/>
      <c r="F47" s="138">
        <f t="shared" si="8"/>
        <v>0</v>
      </c>
      <c r="G47" s="110">
        <f t="shared" si="9"/>
        <v>0</v>
      </c>
      <c r="H47" s="240"/>
      <c r="I47" s="233"/>
      <c r="J47" s="211"/>
      <c r="K47" s="212"/>
      <c r="L47" s="92"/>
    </row>
    <row r="48" spans="1:12" s="143" customFormat="1" ht="12.75" customHeight="1" x14ac:dyDescent="0.2">
      <c r="A48" s="111" t="s">
        <v>181</v>
      </c>
      <c r="B48" s="112" t="s">
        <v>217</v>
      </c>
      <c r="C48" s="111" t="s">
        <v>9</v>
      </c>
      <c r="D48" s="115">
        <v>40</v>
      </c>
      <c r="E48" s="136">
        <v>33.1</v>
      </c>
      <c r="F48" s="138">
        <f t="shared" si="8"/>
        <v>40.380000000000003</v>
      </c>
      <c r="G48" s="110">
        <f t="shared" si="9"/>
        <v>1615.2</v>
      </c>
      <c r="H48" s="234">
        <v>93204</v>
      </c>
      <c r="I48" s="233"/>
      <c r="J48" s="211"/>
      <c r="K48" s="209"/>
      <c r="L48" s="204"/>
    </row>
    <row r="49" spans="1:12" s="143" customFormat="1" ht="12.75" hidden="1" customHeight="1" x14ac:dyDescent="0.2">
      <c r="A49" s="111" t="s">
        <v>182</v>
      </c>
      <c r="B49" s="112"/>
      <c r="C49" s="111" t="s">
        <v>42</v>
      </c>
      <c r="D49" s="115"/>
      <c r="E49" s="136">
        <v>47.66</v>
      </c>
      <c r="F49" s="138">
        <f t="shared" si="8"/>
        <v>58.15</v>
      </c>
      <c r="G49" s="110">
        <f t="shared" si="9"/>
        <v>0</v>
      </c>
      <c r="H49" s="234">
        <v>40340</v>
      </c>
      <c r="I49" s="233"/>
      <c r="J49" s="211"/>
      <c r="K49" s="209"/>
      <c r="L49" s="204"/>
    </row>
    <row r="50" spans="1:12" s="143" customFormat="1" hidden="1" x14ac:dyDescent="0.2">
      <c r="A50" s="111" t="s">
        <v>183</v>
      </c>
      <c r="B50" s="112" t="s">
        <v>228</v>
      </c>
      <c r="C50" s="111" t="s">
        <v>4</v>
      </c>
      <c r="D50" s="115"/>
      <c r="E50" s="136">
        <v>2196.2800000000002</v>
      </c>
      <c r="F50" s="138">
        <f t="shared" si="8"/>
        <v>2679.46</v>
      </c>
      <c r="G50" s="110">
        <f t="shared" si="9"/>
        <v>0</v>
      </c>
      <c r="H50" s="241" t="s">
        <v>221</v>
      </c>
      <c r="I50" s="233" t="s">
        <v>212</v>
      </c>
      <c r="J50" s="211"/>
      <c r="K50" s="209"/>
      <c r="L50" s="204"/>
    </row>
    <row r="51" spans="1:12" s="143" customFormat="1" hidden="1" x14ac:dyDescent="0.2">
      <c r="A51" s="111" t="s">
        <v>232</v>
      </c>
      <c r="B51" s="198"/>
      <c r="C51" s="111"/>
      <c r="D51" s="110"/>
      <c r="E51" s="136"/>
      <c r="F51" s="138">
        <f t="shared" si="8"/>
        <v>0</v>
      </c>
      <c r="G51" s="110">
        <f t="shared" si="9"/>
        <v>0</v>
      </c>
      <c r="H51" s="238"/>
      <c r="I51" s="233"/>
      <c r="J51" s="211"/>
      <c r="K51" s="209"/>
      <c r="L51" s="204"/>
    </row>
    <row r="52" spans="1:12" s="143" customFormat="1" ht="12.75" customHeight="1" x14ac:dyDescent="0.2">
      <c r="A52" s="111" t="s">
        <v>182</v>
      </c>
      <c r="B52" s="154" t="s">
        <v>273</v>
      </c>
      <c r="C52" s="111" t="s">
        <v>9</v>
      </c>
      <c r="D52" s="110">
        <f>D53</f>
        <v>13.8</v>
      </c>
      <c r="E52" s="136">
        <v>45.55</v>
      </c>
      <c r="F52" s="138">
        <f t="shared" si="8"/>
        <v>55.57</v>
      </c>
      <c r="G52" s="110">
        <f t="shared" si="9"/>
        <v>766.87</v>
      </c>
      <c r="H52" s="234">
        <v>93197</v>
      </c>
      <c r="I52" s="233"/>
      <c r="J52" s="211"/>
      <c r="K52" s="209"/>
      <c r="L52" s="204"/>
    </row>
    <row r="53" spans="1:12" s="143" customFormat="1" x14ac:dyDescent="0.2">
      <c r="A53" s="111" t="s">
        <v>183</v>
      </c>
      <c r="B53" s="154" t="s">
        <v>272</v>
      </c>
      <c r="C53" s="111" t="s">
        <v>9</v>
      </c>
      <c r="D53" s="110">
        <f>3.5+4.25+2.4+1.65+2</f>
        <v>13.8</v>
      </c>
      <c r="E53" s="136">
        <v>48.22</v>
      </c>
      <c r="F53" s="138">
        <f t="shared" si="8"/>
        <v>58.83</v>
      </c>
      <c r="G53" s="110">
        <f t="shared" si="9"/>
        <v>811.85</v>
      </c>
      <c r="H53" s="234">
        <v>93187</v>
      </c>
      <c r="I53" s="233"/>
      <c r="J53" s="211"/>
      <c r="K53" s="209"/>
      <c r="L53" s="204"/>
    </row>
    <row r="54" spans="1:12" s="143" customFormat="1" x14ac:dyDescent="0.2">
      <c r="A54" s="111" t="s">
        <v>232</v>
      </c>
      <c r="B54" s="154" t="s">
        <v>271</v>
      </c>
      <c r="C54" s="111" t="s">
        <v>9</v>
      </c>
      <c r="D54" s="110">
        <f>2.85+2.6+1.8+1.5+2</f>
        <v>10.75</v>
      </c>
      <c r="E54" s="136">
        <v>48.32</v>
      </c>
      <c r="F54" s="138">
        <f t="shared" si="8"/>
        <v>58.95</v>
      </c>
      <c r="G54" s="110">
        <f t="shared" si="9"/>
        <v>633.71</v>
      </c>
      <c r="H54" s="234">
        <v>93189</v>
      </c>
      <c r="I54" s="233"/>
      <c r="J54" s="211"/>
      <c r="K54" s="209"/>
      <c r="L54" s="204"/>
    </row>
    <row r="55" spans="1:12" s="143" customFormat="1" hidden="1" x14ac:dyDescent="0.2">
      <c r="A55" s="111" t="s">
        <v>56</v>
      </c>
      <c r="B55" s="156" t="s">
        <v>204</v>
      </c>
      <c r="C55" s="157" t="s">
        <v>4</v>
      </c>
      <c r="D55" s="110"/>
      <c r="E55" s="136">
        <v>905.99</v>
      </c>
      <c r="F55" s="138">
        <f t="shared" si="8"/>
        <v>1105.31</v>
      </c>
      <c r="G55" s="110">
        <f t="shared" si="9"/>
        <v>0</v>
      </c>
      <c r="H55" s="234" t="s">
        <v>162</v>
      </c>
      <c r="I55" s="233"/>
      <c r="J55" s="211"/>
      <c r="K55" s="209"/>
      <c r="L55" s="92"/>
    </row>
    <row r="56" spans="1:12" s="143" customFormat="1" hidden="1" x14ac:dyDescent="0.2">
      <c r="A56" s="111" t="s">
        <v>180</v>
      </c>
      <c r="B56" s="112" t="s">
        <v>107</v>
      </c>
      <c r="C56" s="111" t="s">
        <v>4</v>
      </c>
      <c r="D56" s="110"/>
      <c r="E56" s="136">
        <v>1378.87</v>
      </c>
      <c r="F56" s="138">
        <f t="shared" si="8"/>
        <v>1682.22</v>
      </c>
      <c r="G56" s="110">
        <f t="shared" si="9"/>
        <v>0</v>
      </c>
      <c r="H56" s="234" t="s">
        <v>106</v>
      </c>
      <c r="I56" s="233"/>
      <c r="J56" s="211"/>
      <c r="K56" s="209"/>
      <c r="L56" s="204"/>
    </row>
    <row r="57" spans="1:12" s="143" customFormat="1" x14ac:dyDescent="0.2">
      <c r="A57" s="116" t="s">
        <v>254</v>
      </c>
      <c r="B57" s="271" t="s">
        <v>512</v>
      </c>
      <c r="C57" s="116" t="s">
        <v>3</v>
      </c>
      <c r="D57" s="138">
        <v>61.13</v>
      </c>
      <c r="E57" s="136">
        <v>273.63</v>
      </c>
      <c r="F57" s="138">
        <f t="shared" ref="F57" si="10">ROUND(E57*$G$2,2)</f>
        <v>333.83</v>
      </c>
      <c r="G57" s="138">
        <f t="shared" ref="G57" si="11">ROUND(F57*D57,2)</f>
        <v>20407.03</v>
      </c>
      <c r="H57" s="321" t="s">
        <v>247</v>
      </c>
      <c r="I57" s="232" t="s">
        <v>212</v>
      </c>
      <c r="J57" s="211"/>
      <c r="K57" s="209"/>
      <c r="L57" s="204"/>
    </row>
    <row r="58" spans="1:12" s="5" customFormat="1" x14ac:dyDescent="0.2">
      <c r="A58" s="298"/>
      <c r="B58" s="114" t="s">
        <v>36</v>
      </c>
      <c r="C58" s="298"/>
      <c r="D58" s="299"/>
      <c r="E58" s="137"/>
      <c r="F58" s="138"/>
      <c r="G58" s="121">
        <f>SUM(G43:G57)</f>
        <v>27953.47</v>
      </c>
      <c r="H58" s="242"/>
      <c r="I58" s="239"/>
      <c r="J58" s="213"/>
      <c r="K58" s="215"/>
      <c r="L58" s="301"/>
    </row>
    <row r="59" spans="1:12" s="143" customFormat="1" ht="14.25" customHeight="1" x14ac:dyDescent="0.2">
      <c r="A59" s="226">
        <v>6</v>
      </c>
      <c r="B59" s="219" t="s">
        <v>6</v>
      </c>
      <c r="C59" s="227"/>
      <c r="D59" s="297"/>
      <c r="E59" s="221"/>
      <c r="F59" s="222"/>
      <c r="G59" s="222"/>
      <c r="H59" s="231"/>
      <c r="I59" s="233"/>
      <c r="J59" s="211"/>
      <c r="K59" s="209"/>
      <c r="L59" s="204"/>
    </row>
    <row r="60" spans="1:12" s="143" customFormat="1" x14ac:dyDescent="0.2">
      <c r="A60" s="111" t="s">
        <v>60</v>
      </c>
      <c r="B60" s="112" t="s">
        <v>288</v>
      </c>
      <c r="C60" s="111" t="s">
        <v>3</v>
      </c>
      <c r="D60" s="110">
        <f>(48*0.2)+26+11.2</f>
        <v>46.8</v>
      </c>
      <c r="E60" s="136">
        <v>67.12</v>
      </c>
      <c r="F60" s="138">
        <f t="shared" si="8"/>
        <v>81.89</v>
      </c>
      <c r="G60" s="110">
        <f>ROUND(F60*D60,2)</f>
        <v>3832.45</v>
      </c>
      <c r="H60" s="232" t="s">
        <v>214</v>
      </c>
      <c r="I60" s="233"/>
      <c r="J60" s="211"/>
      <c r="K60" s="209"/>
      <c r="L60" s="204"/>
    </row>
    <row r="61" spans="1:12" s="5" customFormat="1" ht="12.75" customHeight="1" x14ac:dyDescent="0.2">
      <c r="A61" s="298"/>
      <c r="B61" s="114" t="s">
        <v>36</v>
      </c>
      <c r="C61" s="298"/>
      <c r="D61" s="299"/>
      <c r="E61" s="137"/>
      <c r="F61" s="138"/>
      <c r="G61" s="121">
        <f>SUM(G60)</f>
        <v>3832.45</v>
      </c>
      <c r="H61" s="242"/>
      <c r="I61" s="239"/>
      <c r="J61" s="213"/>
      <c r="K61" s="215"/>
      <c r="L61" s="109"/>
    </row>
    <row r="62" spans="1:12" s="150" customFormat="1" ht="12.75" customHeight="1" x14ac:dyDescent="0.2">
      <c r="A62" s="226">
        <v>7</v>
      </c>
      <c r="B62" s="219" t="s">
        <v>34</v>
      </c>
      <c r="C62" s="227"/>
      <c r="D62" s="297"/>
      <c r="E62" s="221"/>
      <c r="F62" s="221"/>
      <c r="G62" s="222"/>
      <c r="H62" s="243"/>
      <c r="I62" s="233"/>
      <c r="J62" s="211"/>
      <c r="K62" s="212"/>
      <c r="L62" s="92"/>
    </row>
    <row r="63" spans="1:12" s="143" customFormat="1" x14ac:dyDescent="0.2">
      <c r="A63" s="111" t="s">
        <v>62</v>
      </c>
      <c r="B63" s="112" t="s">
        <v>249</v>
      </c>
      <c r="C63" s="111" t="s">
        <v>3</v>
      </c>
      <c r="D63" s="138">
        <f>(46.5*2.7)+(22*0.2)+(31.6)</f>
        <v>161.55000000000001</v>
      </c>
      <c r="E63" s="161">
        <v>64.36</v>
      </c>
      <c r="F63" s="138">
        <f>ROUND(E63*$G$2,2)</f>
        <v>78.52</v>
      </c>
      <c r="G63" s="110">
        <f>ROUND(F63*D63,2)</f>
        <v>12684.91</v>
      </c>
      <c r="H63" s="232">
        <v>72132</v>
      </c>
      <c r="I63" s="235"/>
      <c r="J63" s="211"/>
      <c r="K63" s="209"/>
      <c r="L63" s="92"/>
    </row>
    <row r="64" spans="1:12" s="143" customFormat="1" hidden="1" x14ac:dyDescent="0.2">
      <c r="A64" s="111" t="s">
        <v>181</v>
      </c>
      <c r="B64" s="112" t="s">
        <v>242</v>
      </c>
      <c r="C64" s="111" t="s">
        <v>3</v>
      </c>
      <c r="D64" s="138"/>
      <c r="E64" s="136">
        <v>49.74</v>
      </c>
      <c r="F64" s="138">
        <f t="shared" ref="F64:F69" si="12">ROUND(E64*$G$2,2)</f>
        <v>60.68</v>
      </c>
      <c r="G64" s="110">
        <f t="shared" ref="G64:G69" si="13">ROUND(F64*D64,2)</f>
        <v>0</v>
      </c>
      <c r="H64" s="234">
        <v>87480</v>
      </c>
      <c r="I64" s="233"/>
      <c r="J64" s="211"/>
      <c r="K64" s="209"/>
      <c r="L64" s="92"/>
    </row>
    <row r="65" spans="1:12" s="143" customFormat="1" hidden="1" x14ac:dyDescent="0.2">
      <c r="A65" s="111" t="s">
        <v>182</v>
      </c>
      <c r="B65" s="112" t="s">
        <v>245</v>
      </c>
      <c r="C65" s="111" t="s">
        <v>3</v>
      </c>
      <c r="D65" s="138"/>
      <c r="E65" s="136">
        <v>3.49</v>
      </c>
      <c r="F65" s="138">
        <f t="shared" si="12"/>
        <v>4.26</v>
      </c>
      <c r="G65" s="110">
        <f t="shared" si="13"/>
        <v>0</v>
      </c>
      <c r="H65" s="234">
        <v>87878</v>
      </c>
      <c r="I65" s="244"/>
      <c r="J65" s="211"/>
      <c r="K65" s="209"/>
      <c r="L65" s="92"/>
    </row>
    <row r="66" spans="1:12" s="150" customFormat="1" ht="12" hidden="1" customHeight="1" x14ac:dyDescent="0.2">
      <c r="A66" s="111" t="s">
        <v>183</v>
      </c>
      <c r="B66" s="112" t="s">
        <v>243</v>
      </c>
      <c r="C66" s="111" t="s">
        <v>3</v>
      </c>
      <c r="D66" s="138"/>
      <c r="E66" s="161">
        <v>43.2</v>
      </c>
      <c r="F66" s="138">
        <f t="shared" si="12"/>
        <v>52.7</v>
      </c>
      <c r="G66" s="110">
        <f t="shared" si="13"/>
        <v>0</v>
      </c>
      <c r="H66" s="234">
        <v>87777</v>
      </c>
      <c r="I66" s="231"/>
      <c r="J66" s="211"/>
      <c r="K66" s="212"/>
      <c r="L66" s="92"/>
    </row>
    <row r="67" spans="1:12" s="150" customFormat="1" ht="22.5" hidden="1" x14ac:dyDescent="0.2">
      <c r="A67" s="111" t="s">
        <v>232</v>
      </c>
      <c r="B67" s="112" t="s">
        <v>231</v>
      </c>
      <c r="C67" s="111" t="s">
        <v>9</v>
      </c>
      <c r="D67" s="138"/>
      <c r="E67" s="161">
        <v>128.99</v>
      </c>
      <c r="F67" s="138">
        <f t="shared" si="12"/>
        <v>157.37</v>
      </c>
      <c r="G67" s="110">
        <f t="shared" si="13"/>
        <v>0</v>
      </c>
      <c r="H67" s="234"/>
      <c r="I67" s="231"/>
      <c r="J67" s="211"/>
      <c r="K67" s="212"/>
      <c r="L67" s="92"/>
    </row>
    <row r="68" spans="1:12" s="150" customFormat="1" x14ac:dyDescent="0.2">
      <c r="A68" s="111" t="s">
        <v>63</v>
      </c>
      <c r="B68" s="112" t="s">
        <v>483</v>
      </c>
      <c r="C68" s="111" t="s">
        <v>3</v>
      </c>
      <c r="D68" s="138">
        <f>14.43+39.83+22.14+28.62+20.52+10.53+16.2+16.2+17.82</f>
        <v>186.28999999999996</v>
      </c>
      <c r="E68" s="161">
        <v>40.4</v>
      </c>
      <c r="F68" s="138">
        <f t="shared" si="12"/>
        <v>49.29</v>
      </c>
      <c r="G68" s="110">
        <f t="shared" si="13"/>
        <v>9182.23</v>
      </c>
      <c r="H68" s="232">
        <v>93395</v>
      </c>
      <c r="I68" s="231"/>
      <c r="J68" s="211"/>
      <c r="K68" s="212"/>
      <c r="L68" s="92"/>
    </row>
    <row r="69" spans="1:12" s="150" customFormat="1" ht="24.75" customHeight="1" x14ac:dyDescent="0.2">
      <c r="A69" s="111" t="s">
        <v>234</v>
      </c>
      <c r="B69" s="112" t="s">
        <v>347</v>
      </c>
      <c r="C69" s="111" t="s">
        <v>3</v>
      </c>
      <c r="D69" s="138">
        <f>D68</f>
        <v>186.28999999999996</v>
      </c>
      <c r="E69" s="161">
        <v>21.51</v>
      </c>
      <c r="F69" s="138">
        <f t="shared" si="12"/>
        <v>26.24</v>
      </c>
      <c r="G69" s="110">
        <f t="shared" si="13"/>
        <v>4888.25</v>
      </c>
      <c r="H69" s="232">
        <v>87535</v>
      </c>
      <c r="I69" s="231"/>
      <c r="J69" s="211"/>
      <c r="K69" s="212"/>
      <c r="L69" s="92"/>
    </row>
    <row r="70" spans="1:12" s="5" customFormat="1" ht="12.75" customHeight="1" x14ac:dyDescent="0.2">
      <c r="A70" s="298"/>
      <c r="B70" s="114" t="s">
        <v>36</v>
      </c>
      <c r="C70" s="298"/>
      <c r="D70" s="299"/>
      <c r="E70" s="137"/>
      <c r="F70" s="137"/>
      <c r="G70" s="121">
        <f>SUM(G63:G69)</f>
        <v>26755.39</v>
      </c>
      <c r="H70" s="242"/>
      <c r="I70" s="239"/>
      <c r="J70" s="213"/>
      <c r="K70" s="215"/>
      <c r="L70" s="109"/>
    </row>
    <row r="71" spans="1:12" s="143" customFormat="1" x14ac:dyDescent="0.2">
      <c r="A71" s="226">
        <v>8</v>
      </c>
      <c r="B71" s="219" t="s">
        <v>8</v>
      </c>
      <c r="C71" s="227"/>
      <c r="D71" s="222"/>
      <c r="E71" s="221"/>
      <c r="F71" s="221"/>
      <c r="G71" s="222"/>
      <c r="H71" s="231"/>
      <c r="I71" s="233"/>
      <c r="J71" s="211"/>
      <c r="K71" s="209"/>
      <c r="L71" s="92"/>
    </row>
    <row r="72" spans="1:12" s="143" customFormat="1" x14ac:dyDescent="0.2">
      <c r="A72" s="116" t="s">
        <v>17</v>
      </c>
      <c r="B72" s="195" t="s">
        <v>482</v>
      </c>
      <c r="C72" s="111" t="s">
        <v>3</v>
      </c>
      <c r="D72" s="115">
        <v>39.549999999999997</v>
      </c>
      <c r="E72" s="136">
        <v>44.81</v>
      </c>
      <c r="F72" s="138">
        <f t="shared" ref="F72:F83" si="14">ROUND(E72*$G$2,2)</f>
        <v>54.67</v>
      </c>
      <c r="G72" s="110">
        <f t="shared" ref="G72:G83" si="15">ROUND(F72*D72,2)</f>
        <v>2162.1999999999998</v>
      </c>
      <c r="H72" s="232">
        <v>96116</v>
      </c>
      <c r="I72" s="233"/>
      <c r="J72" s="211"/>
      <c r="K72" s="209"/>
      <c r="L72" s="92"/>
    </row>
    <row r="73" spans="1:12" s="143" customFormat="1" hidden="1" x14ac:dyDescent="0.2">
      <c r="A73" s="116" t="s">
        <v>61</v>
      </c>
      <c r="B73" s="151" t="s">
        <v>67</v>
      </c>
      <c r="C73" s="111" t="s">
        <v>42</v>
      </c>
      <c r="D73" s="115"/>
      <c r="E73" s="161">
        <v>83.85</v>
      </c>
      <c r="F73" s="138">
        <f t="shared" si="14"/>
        <v>102.3</v>
      </c>
      <c r="G73" s="110">
        <f t="shared" si="15"/>
        <v>0</v>
      </c>
      <c r="H73" s="234" t="s">
        <v>143</v>
      </c>
      <c r="I73" s="245"/>
      <c r="J73" s="211"/>
      <c r="K73" s="209"/>
      <c r="L73" s="95"/>
    </row>
    <row r="74" spans="1:12" s="150" customFormat="1" hidden="1" x14ac:dyDescent="0.2">
      <c r="A74" s="116" t="s">
        <v>61</v>
      </c>
      <c r="B74" s="151" t="s">
        <v>69</v>
      </c>
      <c r="C74" s="111" t="s">
        <v>68</v>
      </c>
      <c r="D74" s="115"/>
      <c r="E74" s="161">
        <v>83.85</v>
      </c>
      <c r="F74" s="138">
        <f t="shared" si="14"/>
        <v>102.3</v>
      </c>
      <c r="G74" s="110">
        <f t="shared" si="15"/>
        <v>0</v>
      </c>
      <c r="H74" s="234" t="s">
        <v>143</v>
      </c>
      <c r="I74" s="233"/>
      <c r="J74" s="211"/>
      <c r="K74" s="212"/>
      <c r="L74" s="92"/>
    </row>
    <row r="75" spans="1:12" s="150" customFormat="1" x14ac:dyDescent="0.2">
      <c r="A75" s="116" t="s">
        <v>47</v>
      </c>
      <c r="B75" s="151" t="s">
        <v>430</v>
      </c>
      <c r="C75" s="111" t="s">
        <v>9</v>
      </c>
      <c r="D75" s="115">
        <v>24.5</v>
      </c>
      <c r="E75" s="161">
        <v>7.67</v>
      </c>
      <c r="F75" s="138">
        <f t="shared" si="14"/>
        <v>9.36</v>
      </c>
      <c r="G75" s="110">
        <f t="shared" si="15"/>
        <v>229.32</v>
      </c>
      <c r="H75" s="234">
        <v>96121</v>
      </c>
      <c r="I75" s="233"/>
      <c r="J75" s="211"/>
      <c r="K75" s="212"/>
      <c r="L75" s="92"/>
    </row>
    <row r="76" spans="1:12" s="150" customFormat="1" x14ac:dyDescent="0.2">
      <c r="A76" s="116" t="s">
        <v>209</v>
      </c>
      <c r="B76" s="195" t="s">
        <v>431</v>
      </c>
      <c r="C76" s="111" t="s">
        <v>3</v>
      </c>
      <c r="D76" s="115">
        <f>47+15</f>
        <v>62</v>
      </c>
      <c r="E76" s="161">
        <v>62.95</v>
      </c>
      <c r="F76" s="138">
        <f t="shared" si="14"/>
        <v>76.8</v>
      </c>
      <c r="G76" s="110">
        <f t="shared" si="15"/>
        <v>4761.6000000000004</v>
      </c>
      <c r="H76" s="232" t="s">
        <v>432</v>
      </c>
      <c r="I76" s="233"/>
      <c r="J76" s="211"/>
      <c r="K76" s="212"/>
      <c r="L76" s="92"/>
    </row>
    <row r="77" spans="1:12" s="150" customFormat="1" x14ac:dyDescent="0.2">
      <c r="A77" s="116" t="s">
        <v>490</v>
      </c>
      <c r="B77" s="195" t="s">
        <v>513</v>
      </c>
      <c r="C77" s="111" t="s">
        <v>3</v>
      </c>
      <c r="D77" s="115">
        <f>43+12</f>
        <v>55</v>
      </c>
      <c r="E77" s="161">
        <v>30.74</v>
      </c>
      <c r="F77" s="138">
        <f t="shared" si="14"/>
        <v>37.5</v>
      </c>
      <c r="G77" s="110">
        <f t="shared" si="15"/>
        <v>2062.5</v>
      </c>
      <c r="H77" s="232">
        <v>94207</v>
      </c>
      <c r="I77" s="233"/>
      <c r="J77" s="211"/>
      <c r="K77" s="212"/>
      <c r="L77" s="92"/>
    </row>
    <row r="78" spans="1:12" s="150" customFormat="1" x14ac:dyDescent="0.2">
      <c r="A78" s="116" t="s">
        <v>255</v>
      </c>
      <c r="B78" s="195" t="s">
        <v>481</v>
      </c>
      <c r="C78" s="111" t="s">
        <v>3</v>
      </c>
      <c r="D78" s="115">
        <f>D18+5+5</f>
        <v>44.5</v>
      </c>
      <c r="E78" s="161">
        <v>113.18</v>
      </c>
      <c r="F78" s="138">
        <f t="shared" si="14"/>
        <v>138.08000000000001</v>
      </c>
      <c r="G78" s="110">
        <f t="shared" si="15"/>
        <v>6144.56</v>
      </c>
      <c r="H78" s="232">
        <v>96117</v>
      </c>
      <c r="I78" s="233"/>
      <c r="J78" s="211"/>
      <c r="K78" s="212"/>
      <c r="L78" s="92"/>
    </row>
    <row r="79" spans="1:12" s="150" customFormat="1" x14ac:dyDescent="0.2">
      <c r="A79" s="116" t="s">
        <v>256</v>
      </c>
      <c r="B79" s="152" t="s">
        <v>502</v>
      </c>
      <c r="C79" s="111" t="s">
        <v>9</v>
      </c>
      <c r="D79" s="115">
        <f>8.1+2.2+8.7+1.9+3+7.5</f>
        <v>31.4</v>
      </c>
      <c r="E79" s="161">
        <v>98.79</v>
      </c>
      <c r="F79" s="138">
        <f t="shared" si="14"/>
        <v>120.52</v>
      </c>
      <c r="G79" s="110">
        <f t="shared" si="15"/>
        <v>3784.33</v>
      </c>
      <c r="H79" s="234">
        <v>94229</v>
      </c>
      <c r="I79" s="233"/>
      <c r="J79" s="211"/>
      <c r="K79" s="212"/>
      <c r="L79" s="92"/>
    </row>
    <row r="80" spans="1:12" s="150" customFormat="1" x14ac:dyDescent="0.2">
      <c r="A80" s="116" t="s">
        <v>257</v>
      </c>
      <c r="B80" s="195" t="s">
        <v>433</v>
      </c>
      <c r="C80" s="111" t="s">
        <v>9</v>
      </c>
      <c r="D80" s="115">
        <f>20+15.6</f>
        <v>35.6</v>
      </c>
      <c r="E80" s="161">
        <v>26.35</v>
      </c>
      <c r="F80" s="138">
        <f t="shared" si="14"/>
        <v>32.15</v>
      </c>
      <c r="G80" s="110">
        <f t="shared" si="15"/>
        <v>1144.54</v>
      </c>
      <c r="H80" s="234">
        <v>94231</v>
      </c>
      <c r="I80" s="233"/>
      <c r="J80" s="211"/>
      <c r="K80" s="212"/>
      <c r="L80" s="92"/>
    </row>
    <row r="81" spans="1:12" s="150" customFormat="1" ht="12.75" hidden="1" customHeight="1" x14ac:dyDescent="0.2">
      <c r="A81" s="116" t="s">
        <v>98</v>
      </c>
      <c r="B81" s="112" t="s">
        <v>81</v>
      </c>
      <c r="C81" s="111" t="s">
        <v>7</v>
      </c>
      <c r="D81" s="115"/>
      <c r="E81" s="136">
        <v>44.69</v>
      </c>
      <c r="F81" s="138">
        <f t="shared" si="14"/>
        <v>54.52</v>
      </c>
      <c r="G81" s="110">
        <f t="shared" si="15"/>
        <v>0</v>
      </c>
      <c r="H81" s="234" t="s">
        <v>112</v>
      </c>
      <c r="I81" s="233"/>
      <c r="J81" s="211"/>
      <c r="K81" s="212"/>
      <c r="L81" s="92"/>
    </row>
    <row r="82" spans="1:12" s="150" customFormat="1" ht="25.5" hidden="1" customHeight="1" x14ac:dyDescent="0.2">
      <c r="A82" s="116" t="s">
        <v>257</v>
      </c>
      <c r="B82" s="152" t="s">
        <v>70</v>
      </c>
      <c r="C82" s="185" t="s">
        <v>3</v>
      </c>
      <c r="D82" s="207"/>
      <c r="E82" s="186">
        <v>81.180000000000007</v>
      </c>
      <c r="F82" s="187">
        <f t="shared" si="14"/>
        <v>99.04</v>
      </c>
      <c r="G82" s="188">
        <f t="shared" si="15"/>
        <v>0</v>
      </c>
      <c r="H82" s="246" t="s">
        <v>111</v>
      </c>
      <c r="I82" s="233"/>
      <c r="J82" s="211"/>
      <c r="K82" s="212"/>
      <c r="L82" s="92"/>
    </row>
    <row r="83" spans="1:12" s="150" customFormat="1" x14ac:dyDescent="0.2">
      <c r="A83" s="116" t="s">
        <v>516</v>
      </c>
      <c r="B83" s="264" t="s">
        <v>444</v>
      </c>
      <c r="C83" s="185" t="s">
        <v>3</v>
      </c>
      <c r="D83" s="207">
        <f>30</f>
        <v>30</v>
      </c>
      <c r="E83" s="186">
        <v>136.26</v>
      </c>
      <c r="F83" s="187">
        <f t="shared" si="14"/>
        <v>166.24</v>
      </c>
      <c r="G83" s="188">
        <f t="shared" si="15"/>
        <v>4987.2</v>
      </c>
      <c r="H83" s="321" t="s">
        <v>403</v>
      </c>
      <c r="I83" s="232" t="s">
        <v>212</v>
      </c>
      <c r="J83" s="211"/>
      <c r="K83" s="212"/>
      <c r="L83" s="92"/>
    </row>
    <row r="84" spans="1:12" s="143" customFormat="1" x14ac:dyDescent="0.2">
      <c r="A84" s="116" t="s">
        <v>491</v>
      </c>
      <c r="B84" s="271" t="s">
        <v>489</v>
      </c>
      <c r="C84" s="116" t="s">
        <v>3</v>
      </c>
      <c r="D84" s="138">
        <f>28.5</f>
        <v>28.5</v>
      </c>
      <c r="E84" s="136">
        <v>124.17</v>
      </c>
      <c r="F84" s="187">
        <f>ROUND(E84*$G$2,2)</f>
        <v>151.49</v>
      </c>
      <c r="G84" s="138">
        <f>ROUND(F84*D84,2)</f>
        <v>4317.47</v>
      </c>
      <c r="H84" s="321" t="s">
        <v>247</v>
      </c>
      <c r="I84" s="232" t="s">
        <v>212</v>
      </c>
      <c r="J84" s="211"/>
      <c r="K84" s="209"/>
      <c r="L84" s="204"/>
    </row>
    <row r="85" spans="1:12" s="150" customFormat="1" x14ac:dyDescent="0.2">
      <c r="A85" s="148" t="s">
        <v>492</v>
      </c>
      <c r="B85" s="154" t="s">
        <v>506</v>
      </c>
      <c r="C85" s="116" t="s">
        <v>3</v>
      </c>
      <c r="D85" s="115">
        <v>38</v>
      </c>
      <c r="E85" s="161">
        <v>229.41</v>
      </c>
      <c r="F85" s="262">
        <f>ROUND(E85*$G$2,2)</f>
        <v>279.88</v>
      </c>
      <c r="G85" s="115">
        <f>ROUND(F85*D85,2)</f>
        <v>10635.44</v>
      </c>
      <c r="H85" s="321" t="s">
        <v>484</v>
      </c>
      <c r="I85" s="232" t="s">
        <v>212</v>
      </c>
      <c r="J85" s="307"/>
      <c r="K85" s="149"/>
      <c r="L85" s="308"/>
    </row>
    <row r="86" spans="1:12" s="150" customFormat="1" x14ac:dyDescent="0.2">
      <c r="A86" s="148" t="s">
        <v>517</v>
      </c>
      <c r="B86" s="154" t="s">
        <v>505</v>
      </c>
      <c r="C86" s="116" t="s">
        <v>42</v>
      </c>
      <c r="D86" s="115">
        <v>1</v>
      </c>
      <c r="E86" s="161">
        <v>2201.33</v>
      </c>
      <c r="F86" s="262">
        <f>ROUND(E86*$G$2,2)</f>
        <v>2685.62</v>
      </c>
      <c r="G86" s="115">
        <f>ROUND(F86*D86,2)</f>
        <v>2685.62</v>
      </c>
      <c r="H86" s="321" t="s">
        <v>495</v>
      </c>
      <c r="I86" s="232" t="s">
        <v>212</v>
      </c>
      <c r="J86" s="307"/>
      <c r="K86" s="149"/>
      <c r="L86" s="308"/>
    </row>
    <row r="87" spans="1:12" s="12" customFormat="1" ht="12" customHeight="1" x14ac:dyDescent="0.2">
      <c r="A87" s="302"/>
      <c r="B87" s="114" t="s">
        <v>36</v>
      </c>
      <c r="C87" s="298"/>
      <c r="D87" s="299"/>
      <c r="E87" s="137"/>
      <c r="F87" s="137"/>
      <c r="G87" s="121">
        <f>SUM(G72:G86)</f>
        <v>42914.780000000006</v>
      </c>
      <c r="H87" s="236"/>
      <c r="I87" s="239"/>
      <c r="J87" s="213"/>
      <c r="K87" s="214"/>
      <c r="L87" s="123"/>
    </row>
    <row r="88" spans="1:12" s="143" customFormat="1" x14ac:dyDescent="0.2">
      <c r="A88" s="226">
        <v>9</v>
      </c>
      <c r="B88" s="219" t="s">
        <v>233</v>
      </c>
      <c r="C88" s="227"/>
      <c r="D88" s="222"/>
      <c r="E88" s="221"/>
      <c r="F88" s="221"/>
      <c r="G88" s="222"/>
      <c r="H88" s="243"/>
      <c r="I88" s="233"/>
      <c r="J88" s="211"/>
      <c r="K88" s="209"/>
      <c r="L88" s="204"/>
    </row>
    <row r="89" spans="1:12" s="143" customFormat="1" x14ac:dyDescent="0.2">
      <c r="A89" s="116" t="s">
        <v>18</v>
      </c>
      <c r="B89" s="112" t="s">
        <v>434</v>
      </c>
      <c r="C89" s="111" t="s">
        <v>3</v>
      </c>
      <c r="D89" s="115">
        <f>(0.6*5)+0.9+(1.1*2)</f>
        <v>6.1</v>
      </c>
      <c r="E89" s="138">
        <v>447.97</v>
      </c>
      <c r="F89" s="138">
        <f t="shared" ref="F89:F95" si="16">ROUND(E89*$G$2,2)</f>
        <v>546.52</v>
      </c>
      <c r="G89" s="110">
        <f t="shared" ref="G89:G95" si="17">ROUND(F89*D89,2)</f>
        <v>3333.77</v>
      </c>
      <c r="H89" s="232">
        <v>84845</v>
      </c>
      <c r="I89" s="233"/>
      <c r="J89" s="211"/>
      <c r="K89" s="209"/>
      <c r="L89" s="204"/>
    </row>
    <row r="90" spans="1:12" s="143" customFormat="1" x14ac:dyDescent="0.2">
      <c r="A90" s="116" t="s">
        <v>48</v>
      </c>
      <c r="B90" s="112" t="s">
        <v>477</v>
      </c>
      <c r="C90" s="111" t="s">
        <v>3</v>
      </c>
      <c r="D90" s="115">
        <f>2.5*1.15</f>
        <v>2.875</v>
      </c>
      <c r="E90" s="138">
        <v>451.43</v>
      </c>
      <c r="F90" s="138">
        <f t="shared" si="16"/>
        <v>550.74</v>
      </c>
      <c r="G90" s="110">
        <f t="shared" si="17"/>
        <v>1583.38</v>
      </c>
      <c r="H90" s="232">
        <v>94585</v>
      </c>
      <c r="I90" s="233"/>
      <c r="J90" s="211"/>
      <c r="K90" s="209"/>
      <c r="L90" s="204"/>
    </row>
    <row r="91" spans="1:12" s="143" customFormat="1" x14ac:dyDescent="0.2">
      <c r="A91" s="116" t="s">
        <v>158</v>
      </c>
      <c r="B91" s="112" t="s">
        <v>478</v>
      </c>
      <c r="C91" s="111" t="s">
        <v>3</v>
      </c>
      <c r="D91" s="115">
        <v>1.8</v>
      </c>
      <c r="E91" s="138">
        <v>640.87</v>
      </c>
      <c r="F91" s="138">
        <f t="shared" si="16"/>
        <v>781.86</v>
      </c>
      <c r="G91" s="110">
        <f t="shared" si="17"/>
        <v>1407.35</v>
      </c>
      <c r="H91" s="232">
        <v>68050</v>
      </c>
      <c r="I91" s="233"/>
      <c r="J91" s="211"/>
      <c r="K91" s="209"/>
      <c r="L91" s="92"/>
    </row>
    <row r="92" spans="1:12" s="143" customFormat="1" x14ac:dyDescent="0.2">
      <c r="A92" s="116" t="s">
        <v>159</v>
      </c>
      <c r="B92" s="112" t="s">
        <v>479</v>
      </c>
      <c r="C92" s="111" t="s">
        <v>42</v>
      </c>
      <c r="D92" s="115">
        <v>1</v>
      </c>
      <c r="E92" s="138">
        <v>28.59</v>
      </c>
      <c r="F92" s="138">
        <f t="shared" si="16"/>
        <v>34.880000000000003</v>
      </c>
      <c r="G92" s="110">
        <f t="shared" si="17"/>
        <v>34.880000000000003</v>
      </c>
      <c r="H92" s="232">
        <v>90828</v>
      </c>
      <c r="I92" s="233"/>
      <c r="J92" s="211"/>
      <c r="K92" s="209"/>
      <c r="L92" s="92"/>
    </row>
    <row r="93" spans="1:12" s="143" customFormat="1" x14ac:dyDescent="0.2">
      <c r="A93" s="116" t="s">
        <v>184</v>
      </c>
      <c r="B93" s="112" t="s">
        <v>480</v>
      </c>
      <c r="C93" s="111" t="s">
        <v>42</v>
      </c>
      <c r="D93" s="115">
        <v>6</v>
      </c>
      <c r="E93" s="136">
        <v>269.87</v>
      </c>
      <c r="F93" s="138">
        <f t="shared" si="16"/>
        <v>329.24</v>
      </c>
      <c r="G93" s="110">
        <f t="shared" si="17"/>
        <v>1975.44</v>
      </c>
      <c r="H93" s="232">
        <v>90822</v>
      </c>
      <c r="I93" s="233"/>
      <c r="J93" s="211"/>
      <c r="K93" s="209"/>
      <c r="L93" s="92"/>
    </row>
    <row r="94" spans="1:12" s="143" customFormat="1" x14ac:dyDescent="0.2">
      <c r="A94" s="116" t="s">
        <v>185</v>
      </c>
      <c r="B94" s="112" t="s">
        <v>435</v>
      </c>
      <c r="C94" s="111" t="s">
        <v>42</v>
      </c>
      <c r="D94" s="115">
        <v>6</v>
      </c>
      <c r="E94" s="136">
        <v>156.6</v>
      </c>
      <c r="F94" s="138">
        <f t="shared" si="16"/>
        <v>191.05</v>
      </c>
      <c r="G94" s="110">
        <f t="shared" si="17"/>
        <v>1146.3</v>
      </c>
      <c r="H94" s="232">
        <v>91288</v>
      </c>
      <c r="I94" s="233"/>
      <c r="J94" s="211"/>
      <c r="K94" s="209"/>
      <c r="L94" s="92"/>
    </row>
    <row r="95" spans="1:12" s="143" customFormat="1" x14ac:dyDescent="0.2">
      <c r="A95" s="116" t="s">
        <v>186</v>
      </c>
      <c r="B95" s="112" t="s">
        <v>436</v>
      </c>
      <c r="C95" s="111" t="s">
        <v>3</v>
      </c>
      <c r="D95" s="115">
        <f>4.6*2</f>
        <v>9.1999999999999993</v>
      </c>
      <c r="E95" s="136">
        <v>279.20999999999998</v>
      </c>
      <c r="F95" s="138">
        <f t="shared" si="16"/>
        <v>340.64</v>
      </c>
      <c r="G95" s="110">
        <f t="shared" si="17"/>
        <v>3133.89</v>
      </c>
      <c r="H95" s="232">
        <v>91012</v>
      </c>
      <c r="I95" s="233"/>
      <c r="J95" s="211"/>
      <c r="K95" s="209"/>
      <c r="L95" s="92"/>
    </row>
    <row r="96" spans="1:12" s="5" customFormat="1" x14ac:dyDescent="0.2">
      <c r="A96" s="302"/>
      <c r="B96" s="114" t="s">
        <v>36</v>
      </c>
      <c r="C96" s="298"/>
      <c r="D96" s="299"/>
      <c r="E96" s="137"/>
      <c r="F96" s="137"/>
      <c r="G96" s="121">
        <f>SUM(G89:G95)</f>
        <v>12615.009999999998</v>
      </c>
      <c r="H96" s="236"/>
      <c r="I96" s="239"/>
      <c r="J96" s="213"/>
      <c r="K96" s="215"/>
      <c r="L96" s="123"/>
    </row>
    <row r="97" spans="1:12" s="5" customFormat="1" x14ac:dyDescent="0.2">
      <c r="A97" s="226">
        <v>10</v>
      </c>
      <c r="B97" s="219" t="s">
        <v>267</v>
      </c>
      <c r="C97" s="224"/>
      <c r="D97" s="222"/>
      <c r="E97" s="221"/>
      <c r="F97" s="221"/>
      <c r="G97" s="222"/>
      <c r="H97" s="236"/>
      <c r="I97" s="239"/>
      <c r="J97" s="213"/>
      <c r="K97" s="215"/>
      <c r="L97" s="123"/>
    </row>
    <row r="98" spans="1:12" s="5" customFormat="1" x14ac:dyDescent="0.2">
      <c r="A98" s="116" t="s">
        <v>64</v>
      </c>
      <c r="B98" s="112" t="s">
        <v>268</v>
      </c>
      <c r="C98" s="111" t="s">
        <v>3</v>
      </c>
      <c r="D98" s="138">
        <f>42*2.7+16*1.2+12*2.7+11*1.2</f>
        <v>178.2</v>
      </c>
      <c r="E98" s="136">
        <v>11.44</v>
      </c>
      <c r="F98" s="138">
        <f>ROUND(E98*$G$2,2)</f>
        <v>13.96</v>
      </c>
      <c r="G98" s="110">
        <f>ROUND(F98*D98,2)</f>
        <v>2487.67</v>
      </c>
      <c r="H98" s="234">
        <v>84677</v>
      </c>
      <c r="I98" s="239"/>
      <c r="J98" s="213"/>
      <c r="K98" s="215"/>
      <c r="L98" s="123"/>
    </row>
    <row r="99" spans="1:12" s="5" customFormat="1" x14ac:dyDescent="0.2">
      <c r="A99" s="116" t="s">
        <v>504</v>
      </c>
      <c r="B99" s="112" t="s">
        <v>503</v>
      </c>
      <c r="C99" s="111" t="s">
        <v>3</v>
      </c>
      <c r="D99" s="138">
        <f>31.2+26.25+22+38.63+4.62+2.86+5</f>
        <v>130.56</v>
      </c>
      <c r="E99" s="136">
        <v>16.559999999999999</v>
      </c>
      <c r="F99" s="138">
        <f>ROUND(E99*$G$2,2)</f>
        <v>20.2</v>
      </c>
      <c r="G99" s="110">
        <f>ROUND(F99*D99,2)</f>
        <v>2637.31</v>
      </c>
      <c r="H99" s="234">
        <v>6082</v>
      </c>
      <c r="I99" s="239"/>
      <c r="J99" s="213"/>
      <c r="K99" s="215"/>
      <c r="L99" s="123"/>
    </row>
    <row r="100" spans="1:12" s="5" customFormat="1" x14ac:dyDescent="0.2">
      <c r="A100" s="302"/>
      <c r="B100" s="114" t="s">
        <v>36</v>
      </c>
      <c r="C100" s="298"/>
      <c r="D100" s="299"/>
      <c r="E100" s="137"/>
      <c r="F100" s="137"/>
      <c r="G100" s="121">
        <f>SUM(G98:G99)</f>
        <v>5124.9799999999996</v>
      </c>
      <c r="H100" s="236"/>
      <c r="I100" s="239"/>
      <c r="J100" s="213"/>
      <c r="K100" s="215"/>
      <c r="L100" s="123"/>
    </row>
    <row r="101" spans="1:12" s="143" customFormat="1" x14ac:dyDescent="0.2">
      <c r="A101" s="226">
        <v>11</v>
      </c>
      <c r="B101" s="219" t="s">
        <v>43</v>
      </c>
      <c r="C101" s="224"/>
      <c r="D101" s="222"/>
      <c r="E101" s="221"/>
      <c r="F101" s="221"/>
      <c r="G101" s="222"/>
      <c r="H101" s="243"/>
      <c r="I101" s="233"/>
      <c r="J101" s="211"/>
      <c r="K101" s="209"/>
      <c r="L101" s="204"/>
    </row>
    <row r="102" spans="1:12" s="143" customFormat="1" x14ac:dyDescent="0.2">
      <c r="A102" s="111" t="s">
        <v>49</v>
      </c>
      <c r="B102" s="203" t="s">
        <v>437</v>
      </c>
      <c r="C102" s="116" t="s">
        <v>42</v>
      </c>
      <c r="D102" s="115">
        <v>5</v>
      </c>
      <c r="E102" s="136">
        <v>183.12</v>
      </c>
      <c r="F102" s="138">
        <f>ROUND(E102*$G$2,2)</f>
        <v>223.41</v>
      </c>
      <c r="G102" s="110">
        <f>ROUND(F102*D102,2)</f>
        <v>1117.05</v>
      </c>
      <c r="H102" s="205" t="s">
        <v>261</v>
      </c>
      <c r="I102" s="233"/>
      <c r="J102" s="211"/>
      <c r="K102" s="209"/>
      <c r="L102" s="204"/>
    </row>
    <row r="103" spans="1:12" s="143" customFormat="1" x14ac:dyDescent="0.2">
      <c r="A103" s="111" t="s">
        <v>290</v>
      </c>
      <c r="B103" s="203" t="s">
        <v>289</v>
      </c>
      <c r="C103" s="116" t="s">
        <v>9</v>
      </c>
      <c r="D103" s="115">
        <f>30+80</f>
        <v>110</v>
      </c>
      <c r="E103" s="136">
        <v>12.13</v>
      </c>
      <c r="F103" s="138">
        <f>ROUND(E103*$G$2,2)</f>
        <v>14.8</v>
      </c>
      <c r="G103" s="110">
        <f>ROUND(F103*D103,2)</f>
        <v>1628</v>
      </c>
      <c r="H103" s="205">
        <v>89576</v>
      </c>
      <c r="I103" s="233"/>
      <c r="J103" s="211">
        <f>(((E103*0.45)*0.3)-E103)</f>
        <v>-10.49245</v>
      </c>
      <c r="K103" s="209"/>
      <c r="L103" s="204"/>
    </row>
    <row r="104" spans="1:12" s="143" customFormat="1" x14ac:dyDescent="0.2">
      <c r="A104" s="111" t="s">
        <v>438</v>
      </c>
      <c r="B104" s="203" t="s">
        <v>439</v>
      </c>
      <c r="C104" s="116" t="s">
        <v>42</v>
      </c>
      <c r="D104" s="115">
        <v>30</v>
      </c>
      <c r="E104" s="136">
        <v>54.67</v>
      </c>
      <c r="F104" s="138">
        <f>ROUND(E104*$G$2,2)</f>
        <v>66.7</v>
      </c>
      <c r="G104" s="110">
        <f>ROUND(F104*D104,2)</f>
        <v>2001</v>
      </c>
      <c r="H104" s="205">
        <v>94683</v>
      </c>
      <c r="I104" s="233"/>
      <c r="J104" s="211">
        <f t="shared" ref="J104:J105" si="18">(((E104*0.45)*0.3)-E104)</f>
        <v>-47.289550000000006</v>
      </c>
      <c r="K104" s="209"/>
      <c r="L104" s="95"/>
    </row>
    <row r="105" spans="1:12" s="5" customFormat="1" x14ac:dyDescent="0.2">
      <c r="A105" s="298"/>
      <c r="B105" s="114" t="s">
        <v>36</v>
      </c>
      <c r="C105" s="298"/>
      <c r="D105" s="299"/>
      <c r="E105" s="137"/>
      <c r="F105" s="137"/>
      <c r="G105" s="121">
        <f>SUM(G102:G104)</f>
        <v>4746.05</v>
      </c>
      <c r="H105" s="236"/>
      <c r="I105" s="239"/>
      <c r="J105" s="211">
        <f t="shared" si="18"/>
        <v>0</v>
      </c>
      <c r="K105" s="215"/>
      <c r="L105" s="123"/>
    </row>
    <row r="106" spans="1:12" s="93" customFormat="1" x14ac:dyDescent="0.2">
      <c r="A106" s="226">
        <v>12</v>
      </c>
      <c r="B106" s="219" t="s">
        <v>46</v>
      </c>
      <c r="C106" s="220"/>
      <c r="D106" s="222"/>
      <c r="E106" s="221"/>
      <c r="F106" s="221"/>
      <c r="G106" s="222"/>
      <c r="H106" s="243"/>
      <c r="I106" s="233"/>
      <c r="J106" s="211">
        <f t="shared" ref="J106:J217" si="19">(((E106*0.45)*0.3)-E106)</f>
        <v>0</v>
      </c>
      <c r="K106" s="212"/>
      <c r="L106" s="92"/>
    </row>
    <row r="107" spans="1:12" s="93" customFormat="1" x14ac:dyDescent="0.2">
      <c r="A107" s="117" t="s">
        <v>50</v>
      </c>
      <c r="B107" s="112" t="s">
        <v>358</v>
      </c>
      <c r="C107" s="111" t="s">
        <v>42</v>
      </c>
      <c r="D107" s="115">
        <v>1</v>
      </c>
      <c r="E107" s="136">
        <v>29.68</v>
      </c>
      <c r="F107" s="138">
        <f t="shared" ref="F107:F137" si="20">ROUND(E107*$G$2,2)</f>
        <v>36.21</v>
      </c>
      <c r="G107" s="110">
        <f t="shared" ref="G107:G138" si="21">ROUND(F107*D107,2)</f>
        <v>36.21</v>
      </c>
      <c r="H107" s="310" t="s">
        <v>357</v>
      </c>
      <c r="I107" s="233"/>
      <c r="J107" s="211"/>
      <c r="K107" s="212"/>
      <c r="L107" s="92"/>
    </row>
    <row r="108" spans="1:12" s="93" customFormat="1" hidden="1" x14ac:dyDescent="0.2">
      <c r="A108" s="117" t="s">
        <v>65</v>
      </c>
      <c r="B108" s="112" t="s">
        <v>88</v>
      </c>
      <c r="C108" s="111" t="s">
        <v>42</v>
      </c>
      <c r="D108" s="115"/>
      <c r="E108" s="136">
        <v>5.85</v>
      </c>
      <c r="F108" s="138">
        <f t="shared" si="20"/>
        <v>7.14</v>
      </c>
      <c r="G108" s="110">
        <f t="shared" si="21"/>
        <v>0</v>
      </c>
      <c r="H108" s="234" t="s">
        <v>95</v>
      </c>
      <c r="I108" s="233"/>
      <c r="J108" s="211">
        <f t="shared" si="19"/>
        <v>-5.0602499999999999</v>
      </c>
      <c r="K108" s="212"/>
      <c r="L108" s="92"/>
    </row>
    <row r="109" spans="1:12" s="93" customFormat="1" hidden="1" x14ac:dyDescent="0.2">
      <c r="A109" s="117" t="s">
        <v>66</v>
      </c>
      <c r="B109" s="112" t="s">
        <v>85</v>
      </c>
      <c r="C109" s="111" t="s">
        <v>42</v>
      </c>
      <c r="D109" s="115"/>
      <c r="E109" s="136">
        <v>9.3699999999999992</v>
      </c>
      <c r="F109" s="138">
        <f t="shared" si="20"/>
        <v>11.43</v>
      </c>
      <c r="G109" s="110">
        <f t="shared" si="21"/>
        <v>0</v>
      </c>
      <c r="H109" s="247" t="s">
        <v>115</v>
      </c>
      <c r="I109" s="233"/>
      <c r="J109" s="211">
        <f t="shared" si="19"/>
        <v>-8.1050499999999985</v>
      </c>
      <c r="K109" s="212"/>
      <c r="L109" s="92"/>
    </row>
    <row r="110" spans="1:12" s="93" customFormat="1" hidden="1" x14ac:dyDescent="0.2">
      <c r="A110" s="117" t="s">
        <v>187</v>
      </c>
      <c r="B110" s="112" t="s">
        <v>116</v>
      </c>
      <c r="C110" s="111" t="s">
        <v>42</v>
      </c>
      <c r="D110" s="115"/>
      <c r="E110" s="136">
        <v>9.3699999999999992</v>
      </c>
      <c r="F110" s="138">
        <f t="shared" si="20"/>
        <v>11.43</v>
      </c>
      <c r="G110" s="110">
        <f t="shared" si="21"/>
        <v>0</v>
      </c>
      <c r="H110" s="247" t="s">
        <v>117</v>
      </c>
      <c r="I110" s="233"/>
      <c r="J110" s="211">
        <f t="shared" si="19"/>
        <v>-8.1050499999999985</v>
      </c>
      <c r="K110" s="212"/>
      <c r="L110" s="92"/>
    </row>
    <row r="111" spans="1:12" s="93" customFormat="1" hidden="1" x14ac:dyDescent="0.2">
      <c r="A111" s="117" t="s">
        <v>188</v>
      </c>
      <c r="B111" s="112" t="s">
        <v>119</v>
      </c>
      <c r="C111" s="111" t="s">
        <v>42</v>
      </c>
      <c r="D111" s="115"/>
      <c r="E111" s="136">
        <v>175.98</v>
      </c>
      <c r="F111" s="138">
        <f t="shared" si="20"/>
        <v>214.7</v>
      </c>
      <c r="G111" s="110">
        <f t="shared" si="21"/>
        <v>0</v>
      </c>
      <c r="H111" s="247" t="s">
        <v>118</v>
      </c>
      <c r="I111" s="233"/>
      <c r="J111" s="211">
        <f t="shared" si="19"/>
        <v>-152.22269999999997</v>
      </c>
      <c r="K111" s="212"/>
      <c r="L111" s="92"/>
    </row>
    <row r="112" spans="1:12" s="93" customFormat="1" hidden="1" x14ac:dyDescent="0.2">
      <c r="A112" s="117" t="s">
        <v>291</v>
      </c>
      <c r="B112" s="112" t="s">
        <v>86</v>
      </c>
      <c r="C112" s="111" t="s">
        <v>9</v>
      </c>
      <c r="D112" s="115"/>
      <c r="E112" s="136">
        <v>2.99</v>
      </c>
      <c r="F112" s="138">
        <f t="shared" si="20"/>
        <v>3.65</v>
      </c>
      <c r="G112" s="110">
        <f t="shared" si="21"/>
        <v>0</v>
      </c>
      <c r="H112" s="248" t="s">
        <v>120</v>
      </c>
      <c r="I112" s="233"/>
      <c r="J112" s="211">
        <f t="shared" si="19"/>
        <v>-2.5863500000000004</v>
      </c>
      <c r="K112" s="212"/>
      <c r="L112" s="92"/>
    </row>
    <row r="113" spans="1:12" s="93" customFormat="1" hidden="1" x14ac:dyDescent="0.2">
      <c r="A113" s="117" t="s">
        <v>366</v>
      </c>
      <c r="B113" s="112" t="s">
        <v>87</v>
      </c>
      <c r="C113" s="111" t="s">
        <v>9</v>
      </c>
      <c r="D113" s="115"/>
      <c r="E113" s="136">
        <v>4.42</v>
      </c>
      <c r="F113" s="138">
        <f t="shared" si="20"/>
        <v>5.39</v>
      </c>
      <c r="G113" s="110">
        <f t="shared" si="21"/>
        <v>0</v>
      </c>
      <c r="H113" s="248" t="s">
        <v>121</v>
      </c>
      <c r="I113" s="233"/>
      <c r="J113" s="211">
        <f t="shared" si="19"/>
        <v>-3.8232999999999997</v>
      </c>
      <c r="K113" s="212"/>
      <c r="L113" s="92"/>
    </row>
    <row r="114" spans="1:12" s="93" customFormat="1" hidden="1" x14ac:dyDescent="0.2">
      <c r="A114" s="117" t="s">
        <v>292</v>
      </c>
      <c r="B114" s="112" t="s">
        <v>137</v>
      </c>
      <c r="C114" s="111" t="s">
        <v>9</v>
      </c>
      <c r="D114" s="115"/>
      <c r="E114" s="136">
        <v>5.95</v>
      </c>
      <c r="F114" s="138">
        <f t="shared" si="20"/>
        <v>7.26</v>
      </c>
      <c r="G114" s="110">
        <f t="shared" si="21"/>
        <v>0</v>
      </c>
      <c r="H114" s="248" t="s">
        <v>138</v>
      </c>
      <c r="I114" s="233"/>
      <c r="J114" s="211">
        <f t="shared" si="19"/>
        <v>-5.1467499999999999</v>
      </c>
      <c r="K114" s="212"/>
      <c r="L114" s="92"/>
    </row>
    <row r="115" spans="1:12" s="93" customFormat="1" hidden="1" x14ac:dyDescent="0.2">
      <c r="A115" s="117" t="s">
        <v>293</v>
      </c>
      <c r="B115" s="112" t="s">
        <v>89</v>
      </c>
      <c r="C115" s="111" t="s">
        <v>42</v>
      </c>
      <c r="D115" s="115"/>
      <c r="E115" s="136">
        <v>11.41</v>
      </c>
      <c r="F115" s="138">
        <f t="shared" si="20"/>
        <v>13.92</v>
      </c>
      <c r="G115" s="110">
        <f t="shared" si="21"/>
        <v>0</v>
      </c>
      <c r="H115" s="248" t="s">
        <v>122</v>
      </c>
      <c r="I115" s="233"/>
      <c r="J115" s="211">
        <f t="shared" si="19"/>
        <v>-9.86965</v>
      </c>
      <c r="K115" s="212"/>
      <c r="L115" s="92"/>
    </row>
    <row r="116" spans="1:12" s="93" customFormat="1" hidden="1" x14ac:dyDescent="0.2">
      <c r="A116" s="117" t="s">
        <v>294</v>
      </c>
      <c r="B116" s="112" t="s">
        <v>90</v>
      </c>
      <c r="C116" s="111" t="s">
        <v>42</v>
      </c>
      <c r="D116" s="115"/>
      <c r="E116" s="136">
        <v>50.26</v>
      </c>
      <c r="F116" s="138">
        <f t="shared" si="20"/>
        <v>61.32</v>
      </c>
      <c r="G116" s="110">
        <f t="shared" si="21"/>
        <v>0</v>
      </c>
      <c r="H116" s="248" t="s">
        <v>123</v>
      </c>
      <c r="I116" s="233"/>
      <c r="J116" s="211">
        <f t="shared" si="19"/>
        <v>-43.474899999999998</v>
      </c>
      <c r="K116" s="212"/>
      <c r="L116" s="92"/>
    </row>
    <row r="117" spans="1:12" s="93" customFormat="1" hidden="1" x14ac:dyDescent="0.2">
      <c r="A117" s="117" t="s">
        <v>367</v>
      </c>
      <c r="B117" s="112" t="s">
        <v>91</v>
      </c>
      <c r="C117" s="111" t="s">
        <v>42</v>
      </c>
      <c r="D117" s="115"/>
      <c r="E117" s="136">
        <v>50.39</v>
      </c>
      <c r="F117" s="138">
        <f t="shared" si="20"/>
        <v>61.48</v>
      </c>
      <c r="G117" s="110">
        <f t="shared" si="21"/>
        <v>0</v>
      </c>
      <c r="H117" s="248" t="s">
        <v>124</v>
      </c>
      <c r="I117" s="233"/>
      <c r="J117" s="211">
        <f t="shared" si="19"/>
        <v>-43.587350000000001</v>
      </c>
      <c r="K117" s="212"/>
      <c r="L117" s="92"/>
    </row>
    <row r="118" spans="1:12" s="93" customFormat="1" hidden="1" x14ac:dyDescent="0.2">
      <c r="A118" s="117" t="s">
        <v>295</v>
      </c>
      <c r="B118" s="112" t="s">
        <v>92</v>
      </c>
      <c r="C118" s="111" t="s">
        <v>9</v>
      </c>
      <c r="D118" s="115"/>
      <c r="E118" s="136">
        <v>6.51</v>
      </c>
      <c r="F118" s="138">
        <f t="shared" si="20"/>
        <v>7.94</v>
      </c>
      <c r="G118" s="110">
        <f t="shared" si="21"/>
        <v>0</v>
      </c>
      <c r="H118" s="248" t="s">
        <v>125</v>
      </c>
      <c r="I118" s="233"/>
      <c r="J118" s="211">
        <f t="shared" si="19"/>
        <v>-5.6311499999999999</v>
      </c>
      <c r="K118" s="212"/>
      <c r="L118" s="92"/>
    </row>
    <row r="119" spans="1:12" s="93" customFormat="1" hidden="1" x14ac:dyDescent="0.2">
      <c r="A119" s="117" t="s">
        <v>296</v>
      </c>
      <c r="B119" s="112" t="s">
        <v>96</v>
      </c>
      <c r="C119" s="111" t="s">
        <v>9</v>
      </c>
      <c r="D119" s="115"/>
      <c r="E119" s="136">
        <v>3.97</v>
      </c>
      <c r="F119" s="138">
        <f t="shared" si="20"/>
        <v>4.84</v>
      </c>
      <c r="G119" s="110">
        <f t="shared" si="21"/>
        <v>0</v>
      </c>
      <c r="H119" s="248" t="s">
        <v>126</v>
      </c>
      <c r="I119" s="233"/>
      <c r="J119" s="211">
        <f t="shared" si="19"/>
        <v>-3.43405</v>
      </c>
      <c r="K119" s="212"/>
      <c r="L119" s="92"/>
    </row>
    <row r="120" spans="1:12" s="93" customFormat="1" hidden="1" x14ac:dyDescent="0.2">
      <c r="A120" s="117" t="s">
        <v>297</v>
      </c>
      <c r="B120" s="154" t="s">
        <v>93</v>
      </c>
      <c r="C120" s="111" t="s">
        <v>9</v>
      </c>
      <c r="D120" s="115"/>
      <c r="E120" s="136">
        <v>24.49</v>
      </c>
      <c r="F120" s="138">
        <f t="shared" si="20"/>
        <v>29.88</v>
      </c>
      <c r="G120" s="110">
        <f t="shared" si="21"/>
        <v>0</v>
      </c>
      <c r="H120" s="248" t="s">
        <v>97</v>
      </c>
      <c r="I120" s="233"/>
      <c r="J120" s="211">
        <f t="shared" si="19"/>
        <v>-21.18385</v>
      </c>
      <c r="K120" s="212"/>
      <c r="L120" s="92"/>
    </row>
    <row r="121" spans="1:12" s="93" customFormat="1" x14ac:dyDescent="0.2">
      <c r="A121" s="117" t="s">
        <v>65</v>
      </c>
      <c r="B121" s="112" t="s">
        <v>315</v>
      </c>
      <c r="C121" s="111" t="s">
        <v>42</v>
      </c>
      <c r="D121" s="115">
        <v>1</v>
      </c>
      <c r="E121" s="136">
        <v>987.38</v>
      </c>
      <c r="F121" s="138">
        <f t="shared" si="20"/>
        <v>1204.5999999999999</v>
      </c>
      <c r="G121" s="110">
        <f t="shared" si="21"/>
        <v>1204.5999999999999</v>
      </c>
      <c r="H121" s="205">
        <v>83372</v>
      </c>
      <c r="I121" s="233"/>
      <c r="J121" s="211">
        <f t="shared" si="19"/>
        <v>-854.08370000000002</v>
      </c>
      <c r="K121" s="212"/>
      <c r="L121" s="92"/>
    </row>
    <row r="122" spans="1:12" s="93" customFormat="1" ht="22.5" x14ac:dyDescent="0.2">
      <c r="A122" s="117" t="s">
        <v>66</v>
      </c>
      <c r="B122" s="154" t="s">
        <v>568</v>
      </c>
      <c r="C122" s="111" t="s">
        <v>42</v>
      </c>
      <c r="D122" s="115">
        <v>4</v>
      </c>
      <c r="E122" s="136">
        <v>39.020000000000003</v>
      </c>
      <c r="F122" s="138">
        <f t="shared" si="20"/>
        <v>47.6</v>
      </c>
      <c r="G122" s="110">
        <f t="shared" si="21"/>
        <v>190.4</v>
      </c>
      <c r="H122" s="322" t="s">
        <v>569</v>
      </c>
      <c r="I122" s="323"/>
      <c r="J122" s="211"/>
      <c r="K122" s="212"/>
      <c r="L122" s="92"/>
    </row>
    <row r="123" spans="1:12" s="93" customFormat="1" x14ac:dyDescent="0.2">
      <c r="A123" s="117" t="s">
        <v>187</v>
      </c>
      <c r="B123" s="154" t="s">
        <v>316</v>
      </c>
      <c r="C123" s="111" t="s">
        <v>42</v>
      </c>
      <c r="D123" s="115">
        <v>6</v>
      </c>
      <c r="E123" s="136">
        <v>13.67</v>
      </c>
      <c r="F123" s="138">
        <f t="shared" si="20"/>
        <v>16.68</v>
      </c>
      <c r="G123" s="110">
        <f t="shared" si="21"/>
        <v>100.08</v>
      </c>
      <c r="H123" s="205">
        <v>93654</v>
      </c>
      <c r="I123" s="233"/>
      <c r="J123" s="211"/>
      <c r="K123" s="212"/>
      <c r="L123" s="92"/>
    </row>
    <row r="124" spans="1:12" s="93" customFormat="1" x14ac:dyDescent="0.2">
      <c r="A124" s="117" t="s">
        <v>188</v>
      </c>
      <c r="B124" s="154" t="s">
        <v>317</v>
      </c>
      <c r="C124" s="111" t="s">
        <v>42</v>
      </c>
      <c r="D124" s="115">
        <v>4</v>
      </c>
      <c r="E124" s="136">
        <v>14.72</v>
      </c>
      <c r="F124" s="138">
        <f t="shared" si="20"/>
        <v>17.96</v>
      </c>
      <c r="G124" s="110">
        <f t="shared" si="21"/>
        <v>71.84</v>
      </c>
      <c r="H124" s="205">
        <v>93655</v>
      </c>
      <c r="I124" s="233"/>
      <c r="J124" s="211"/>
      <c r="K124" s="212"/>
      <c r="L124" s="92"/>
    </row>
    <row r="125" spans="1:12" s="93" customFormat="1" hidden="1" x14ac:dyDescent="0.2">
      <c r="A125" s="117" t="s">
        <v>291</v>
      </c>
      <c r="B125" s="265" t="s">
        <v>263</v>
      </c>
      <c r="C125" s="111"/>
      <c r="D125" s="115"/>
      <c r="E125" s="136"/>
      <c r="F125" s="138">
        <f t="shared" si="20"/>
        <v>0</v>
      </c>
      <c r="G125" s="110">
        <f t="shared" si="21"/>
        <v>0</v>
      </c>
      <c r="H125" s="205"/>
      <c r="I125" s="233"/>
      <c r="J125" s="211"/>
      <c r="K125" s="212"/>
      <c r="L125" s="92"/>
    </row>
    <row r="126" spans="1:12" s="93" customFormat="1" hidden="1" x14ac:dyDescent="0.2">
      <c r="A126" s="117" t="s">
        <v>366</v>
      </c>
      <c r="B126" s="265" t="s">
        <v>264</v>
      </c>
      <c r="C126" s="111"/>
      <c r="D126" s="115"/>
      <c r="E126" s="136"/>
      <c r="F126" s="138">
        <f t="shared" si="20"/>
        <v>0</v>
      </c>
      <c r="G126" s="110">
        <f t="shared" si="21"/>
        <v>0</v>
      </c>
      <c r="H126" s="205"/>
      <c r="I126" s="233"/>
      <c r="J126" s="211"/>
      <c r="K126" s="212"/>
      <c r="L126" s="92"/>
    </row>
    <row r="127" spans="1:12" s="93" customFormat="1" hidden="1" x14ac:dyDescent="0.2">
      <c r="A127" s="117" t="s">
        <v>292</v>
      </c>
      <c r="B127" s="265" t="s">
        <v>265</v>
      </c>
      <c r="C127" s="111"/>
      <c r="D127" s="115"/>
      <c r="E127" s="136"/>
      <c r="F127" s="138">
        <f t="shared" si="20"/>
        <v>0</v>
      </c>
      <c r="G127" s="110">
        <f t="shared" si="21"/>
        <v>0</v>
      </c>
      <c r="H127" s="205"/>
      <c r="I127" s="233"/>
      <c r="J127" s="211"/>
      <c r="K127" s="212"/>
      <c r="L127" s="92"/>
    </row>
    <row r="128" spans="1:12" s="93" customFormat="1" x14ac:dyDescent="0.2">
      <c r="A128" s="117" t="s">
        <v>291</v>
      </c>
      <c r="B128" s="154" t="s">
        <v>318</v>
      </c>
      <c r="C128" s="111" t="s">
        <v>42</v>
      </c>
      <c r="D128" s="115">
        <v>2</v>
      </c>
      <c r="E128" s="136">
        <v>14.72</v>
      </c>
      <c r="F128" s="138">
        <f t="shared" si="20"/>
        <v>17.96</v>
      </c>
      <c r="G128" s="110">
        <f>ROUND(F128*D128,2)</f>
        <v>35.92</v>
      </c>
      <c r="H128" s="205">
        <v>93656</v>
      </c>
      <c r="I128" s="233"/>
      <c r="J128" s="211"/>
      <c r="K128" s="212"/>
      <c r="L128" s="92"/>
    </row>
    <row r="129" spans="1:12" s="93" customFormat="1" x14ac:dyDescent="0.2">
      <c r="A129" s="117" t="s">
        <v>366</v>
      </c>
      <c r="B129" s="154" t="s">
        <v>350</v>
      </c>
      <c r="C129" s="111" t="s">
        <v>9</v>
      </c>
      <c r="D129" s="115">
        <v>283</v>
      </c>
      <c r="E129" s="136">
        <v>8.36</v>
      </c>
      <c r="F129" s="138">
        <f t="shared" si="20"/>
        <v>10.199999999999999</v>
      </c>
      <c r="G129" s="110">
        <f>ROUND(F129*D129,2)</f>
        <v>2886.6</v>
      </c>
      <c r="H129" s="205">
        <v>91854</v>
      </c>
      <c r="I129" s="233"/>
      <c r="J129" s="211"/>
      <c r="K129" s="212"/>
      <c r="L129" s="92"/>
    </row>
    <row r="130" spans="1:12" s="93" customFormat="1" x14ac:dyDescent="0.2">
      <c r="A130" s="117" t="s">
        <v>292</v>
      </c>
      <c r="B130" s="154" t="s">
        <v>319</v>
      </c>
      <c r="C130" s="111" t="s">
        <v>9</v>
      </c>
      <c r="D130" s="115">
        <v>30</v>
      </c>
      <c r="E130" s="136">
        <v>4.21</v>
      </c>
      <c r="F130" s="138">
        <f t="shared" si="20"/>
        <v>5.14</v>
      </c>
      <c r="G130" s="110">
        <f t="shared" si="21"/>
        <v>154.19999999999999</v>
      </c>
      <c r="H130" s="205">
        <v>937</v>
      </c>
      <c r="I130" s="233"/>
      <c r="J130" s="211"/>
      <c r="K130" s="212"/>
      <c r="L130" s="92"/>
    </row>
    <row r="131" spans="1:12" s="93" customFormat="1" x14ac:dyDescent="0.2">
      <c r="A131" s="117" t="s">
        <v>293</v>
      </c>
      <c r="B131" s="154" t="s">
        <v>320</v>
      </c>
      <c r="C131" s="111" t="s">
        <v>9</v>
      </c>
      <c r="D131" s="115">
        <v>849</v>
      </c>
      <c r="E131" s="136">
        <v>1.0900000000000001</v>
      </c>
      <c r="F131" s="138">
        <f t="shared" si="20"/>
        <v>1.33</v>
      </c>
      <c r="G131" s="110">
        <f t="shared" si="21"/>
        <v>1129.17</v>
      </c>
      <c r="H131" s="205">
        <v>939</v>
      </c>
      <c r="I131" s="233"/>
      <c r="J131" s="211"/>
      <c r="K131" s="212"/>
      <c r="L131" s="92"/>
    </row>
    <row r="132" spans="1:12" s="93" customFormat="1" x14ac:dyDescent="0.2">
      <c r="A132" s="117" t="s">
        <v>294</v>
      </c>
      <c r="B132" s="154" t="s">
        <v>321</v>
      </c>
      <c r="C132" s="111" t="s">
        <v>9</v>
      </c>
      <c r="D132" s="115">
        <v>60</v>
      </c>
      <c r="E132" s="136">
        <v>2.57</v>
      </c>
      <c r="F132" s="138">
        <f t="shared" si="20"/>
        <v>3.14</v>
      </c>
      <c r="G132" s="110">
        <f t="shared" si="21"/>
        <v>188.4</v>
      </c>
      <c r="H132" s="205">
        <v>940</v>
      </c>
      <c r="I132" s="233"/>
      <c r="J132" s="211"/>
      <c r="K132" s="212"/>
      <c r="L132" s="92"/>
    </row>
    <row r="133" spans="1:12" s="277" customFormat="1" x14ac:dyDescent="0.2">
      <c r="A133" s="117" t="s">
        <v>367</v>
      </c>
      <c r="B133" s="271" t="s">
        <v>322</v>
      </c>
      <c r="C133" s="116" t="s">
        <v>42</v>
      </c>
      <c r="D133" s="138">
        <v>18</v>
      </c>
      <c r="E133" s="136">
        <v>80.48</v>
      </c>
      <c r="F133" s="138">
        <f t="shared" si="20"/>
        <v>98.19</v>
      </c>
      <c r="G133" s="138">
        <f t="shared" si="21"/>
        <v>1767.42</v>
      </c>
      <c r="H133" s="272" t="s">
        <v>280</v>
      </c>
      <c r="I133" s="316">
        <v>97586</v>
      </c>
      <c r="J133" s="274"/>
      <c r="K133" s="275"/>
      <c r="L133" s="276"/>
    </row>
    <row r="134" spans="1:12" s="277" customFormat="1" x14ac:dyDescent="0.2">
      <c r="A134" s="117" t="s">
        <v>295</v>
      </c>
      <c r="B134" s="271" t="s">
        <v>364</v>
      </c>
      <c r="C134" s="116" t="s">
        <v>42</v>
      </c>
      <c r="D134" s="138">
        <v>18</v>
      </c>
      <c r="E134" s="136">
        <v>11.57</v>
      </c>
      <c r="F134" s="138">
        <f t="shared" ref="F134" si="22">ROUND(E134*$G$2,2)</f>
        <v>14.12</v>
      </c>
      <c r="G134" s="138">
        <f t="shared" ref="G134" si="23">ROUND(F134*D134,2)</f>
        <v>254.16</v>
      </c>
      <c r="H134" s="272">
        <v>91936</v>
      </c>
      <c r="I134" s="273"/>
      <c r="J134" s="274"/>
      <c r="K134" s="275"/>
      <c r="L134" s="276"/>
    </row>
    <row r="135" spans="1:12" s="93" customFormat="1" x14ac:dyDescent="0.2">
      <c r="A135" s="117" t="s">
        <v>296</v>
      </c>
      <c r="B135" s="154" t="s">
        <v>362</v>
      </c>
      <c r="C135" s="111" t="s">
        <v>42</v>
      </c>
      <c r="D135" s="115">
        <v>4</v>
      </c>
      <c r="E135" s="136">
        <v>30.06</v>
      </c>
      <c r="F135" s="138">
        <f t="shared" si="20"/>
        <v>36.67</v>
      </c>
      <c r="G135" s="110">
        <f t="shared" si="21"/>
        <v>146.68</v>
      </c>
      <c r="H135" s="310" t="s">
        <v>361</v>
      </c>
      <c r="I135" s="233"/>
      <c r="J135" s="211"/>
      <c r="K135" s="212"/>
      <c r="L135" s="92"/>
    </row>
    <row r="136" spans="1:12" s="93" customFormat="1" x14ac:dyDescent="0.2">
      <c r="A136" s="117" t="s">
        <v>297</v>
      </c>
      <c r="B136" s="154" t="s">
        <v>359</v>
      </c>
      <c r="C136" s="111" t="s">
        <v>42</v>
      </c>
      <c r="D136" s="115">
        <v>4</v>
      </c>
      <c r="E136" s="136">
        <v>72.099999999999994</v>
      </c>
      <c r="F136" s="138">
        <f t="shared" ref="F136" si="24">ROUND(E136*$G$2,2)</f>
        <v>87.96</v>
      </c>
      <c r="G136" s="110">
        <f t="shared" ref="G136" si="25">ROUND(F136*D136,2)</f>
        <v>351.84</v>
      </c>
      <c r="H136" s="310" t="s">
        <v>360</v>
      </c>
      <c r="I136" s="233"/>
      <c r="J136" s="211"/>
      <c r="K136" s="212"/>
      <c r="L136" s="92"/>
    </row>
    <row r="137" spans="1:12" s="93" customFormat="1" x14ac:dyDescent="0.2">
      <c r="A137" s="117" t="s">
        <v>298</v>
      </c>
      <c r="B137" s="154" t="s">
        <v>323</v>
      </c>
      <c r="C137" s="111" t="s">
        <v>42</v>
      </c>
      <c r="D137" s="115">
        <v>22</v>
      </c>
      <c r="E137" s="136">
        <v>29.24</v>
      </c>
      <c r="F137" s="138">
        <f t="shared" si="20"/>
        <v>35.67</v>
      </c>
      <c r="G137" s="110">
        <f t="shared" si="21"/>
        <v>784.74</v>
      </c>
      <c r="H137" s="205">
        <v>91996</v>
      </c>
      <c r="I137" s="233"/>
      <c r="J137" s="211"/>
      <c r="K137" s="212"/>
      <c r="L137" s="92"/>
    </row>
    <row r="138" spans="1:12" s="93" customFormat="1" x14ac:dyDescent="0.2">
      <c r="A138" s="117" t="s">
        <v>368</v>
      </c>
      <c r="B138" s="154" t="s">
        <v>324</v>
      </c>
      <c r="C138" s="111" t="s">
        <v>42</v>
      </c>
      <c r="D138" s="115">
        <v>4</v>
      </c>
      <c r="E138" s="136">
        <v>40.39</v>
      </c>
      <c r="F138" s="138">
        <f>ROUND(E138*$G$2,2)</f>
        <v>49.28</v>
      </c>
      <c r="G138" s="110">
        <f t="shared" si="21"/>
        <v>197.12</v>
      </c>
      <c r="H138" s="205">
        <v>91993</v>
      </c>
      <c r="I138" s="233"/>
      <c r="J138" s="211"/>
      <c r="K138" s="212"/>
      <c r="L138" s="92"/>
    </row>
    <row r="139" spans="1:12" s="93" customFormat="1" x14ac:dyDescent="0.2">
      <c r="A139" s="117" t="s">
        <v>351</v>
      </c>
      <c r="B139" s="154" t="s">
        <v>365</v>
      </c>
      <c r="C139" s="111" t="s">
        <v>42</v>
      </c>
      <c r="D139" s="115">
        <v>11</v>
      </c>
      <c r="E139" s="136">
        <v>31.12</v>
      </c>
      <c r="F139" s="138">
        <f>ROUND(E139*$G$2,2)</f>
        <v>37.97</v>
      </c>
      <c r="G139" s="110">
        <f t="shared" ref="G139:G140" si="26">ROUND(F139*D139,2)</f>
        <v>417.67</v>
      </c>
      <c r="H139" s="205">
        <v>91997</v>
      </c>
      <c r="I139" s="233"/>
      <c r="J139" s="211"/>
      <c r="K139" s="212"/>
      <c r="L139" s="92"/>
    </row>
    <row r="140" spans="1:12" s="277" customFormat="1" x14ac:dyDescent="0.2">
      <c r="A140" s="117" t="s">
        <v>352</v>
      </c>
      <c r="B140" s="271" t="s">
        <v>363</v>
      </c>
      <c r="C140" s="116" t="s">
        <v>42</v>
      </c>
      <c r="D140" s="138">
        <v>11</v>
      </c>
      <c r="E140" s="136">
        <v>49.1</v>
      </c>
      <c r="F140" s="138">
        <f t="shared" ref="F140" si="27">ROUND(E140*$G$2,2)</f>
        <v>59.9</v>
      </c>
      <c r="G140" s="138">
        <f t="shared" si="26"/>
        <v>658.9</v>
      </c>
      <c r="H140" s="272">
        <v>92029</v>
      </c>
      <c r="I140" s="273"/>
      <c r="J140" s="274"/>
      <c r="K140" s="275"/>
      <c r="L140" s="276"/>
    </row>
    <row r="141" spans="1:12" s="277" customFormat="1" x14ac:dyDescent="0.2">
      <c r="A141" s="117"/>
      <c r="B141" s="114" t="s">
        <v>36</v>
      </c>
      <c r="C141" s="120"/>
      <c r="D141" s="126"/>
      <c r="E141" s="137"/>
      <c r="F141" s="137"/>
      <c r="G141" s="121">
        <f>SUM(G106:G140)</f>
        <v>10575.949999999999</v>
      </c>
      <c r="H141" s="272">
        <v>92023</v>
      </c>
      <c r="I141" s="273"/>
      <c r="J141" s="274"/>
      <c r="K141" s="275"/>
      <c r="L141" s="276"/>
    </row>
    <row r="142" spans="1:12" s="124" customFormat="1" x14ac:dyDescent="0.2">
      <c r="A142" s="120"/>
      <c r="B142" s="114"/>
      <c r="C142" s="120"/>
      <c r="D142" s="126"/>
      <c r="E142" s="137"/>
      <c r="F142" s="137"/>
      <c r="G142" s="121"/>
      <c r="H142" s="249"/>
      <c r="I142" s="239"/>
      <c r="J142" s="211">
        <f t="shared" si="19"/>
        <v>0</v>
      </c>
      <c r="K142" s="215"/>
      <c r="L142" s="123"/>
    </row>
    <row r="143" spans="1:12" x14ac:dyDescent="0.2">
      <c r="A143" s="218">
        <v>13</v>
      </c>
      <c r="B143" s="223" t="s">
        <v>33</v>
      </c>
      <c r="C143" s="220"/>
      <c r="D143" s="222"/>
      <c r="E143" s="221"/>
      <c r="F143" s="221"/>
      <c r="G143" s="222"/>
      <c r="H143" s="250"/>
      <c r="I143" s="233"/>
      <c r="J143" s="211">
        <f t="shared" si="19"/>
        <v>0</v>
      </c>
      <c r="K143" s="209"/>
      <c r="L143" s="95"/>
    </row>
    <row r="144" spans="1:12" x14ac:dyDescent="0.2">
      <c r="A144" s="111" t="s">
        <v>31</v>
      </c>
      <c r="B144" s="112" t="s">
        <v>258</v>
      </c>
      <c r="C144" s="111" t="s">
        <v>42</v>
      </c>
      <c r="D144" s="115">
        <v>3</v>
      </c>
      <c r="E144" s="136">
        <v>121.9</v>
      </c>
      <c r="F144" s="138">
        <f t="shared" ref="F144:F148" si="28">ROUND(E144*$G$2,2)</f>
        <v>148.72</v>
      </c>
      <c r="G144" s="110">
        <f t="shared" ref="G144:G148" si="29">ROUND(F144*D144,2)</f>
        <v>446.16</v>
      </c>
      <c r="H144" s="205" t="s">
        <v>259</v>
      </c>
      <c r="I144" s="233"/>
      <c r="J144" s="211"/>
      <c r="K144" s="209"/>
      <c r="L144" s="95"/>
    </row>
    <row r="145" spans="1:12" hidden="1" x14ac:dyDescent="0.2">
      <c r="A145" s="111" t="s">
        <v>64</v>
      </c>
      <c r="B145" s="113" t="s">
        <v>157</v>
      </c>
      <c r="C145" s="111" t="s">
        <v>7</v>
      </c>
      <c r="D145" s="115"/>
      <c r="E145" s="136">
        <v>21.63</v>
      </c>
      <c r="F145" s="138">
        <f t="shared" si="28"/>
        <v>26.39</v>
      </c>
      <c r="G145" s="110">
        <f t="shared" si="29"/>
        <v>0</v>
      </c>
      <c r="H145" s="234" t="s">
        <v>156</v>
      </c>
      <c r="I145" s="235"/>
      <c r="J145" s="211">
        <f t="shared" si="19"/>
        <v>-18.709949999999999</v>
      </c>
      <c r="K145" s="209"/>
      <c r="L145" s="95"/>
    </row>
    <row r="146" spans="1:12" x14ac:dyDescent="0.2">
      <c r="A146" s="111" t="s">
        <v>44</v>
      </c>
      <c r="B146" s="113" t="s">
        <v>325</v>
      </c>
      <c r="C146" s="111" t="s">
        <v>42</v>
      </c>
      <c r="D146" s="115">
        <v>4</v>
      </c>
      <c r="E146" s="136">
        <v>76.900000000000006</v>
      </c>
      <c r="F146" s="138">
        <f t="shared" si="28"/>
        <v>93.82</v>
      </c>
      <c r="G146" s="110">
        <f t="shared" si="29"/>
        <v>375.28</v>
      </c>
      <c r="H146" s="232" t="s">
        <v>493</v>
      </c>
      <c r="I146" s="235"/>
      <c r="J146" s="211"/>
      <c r="K146" s="209"/>
      <c r="L146" s="95"/>
    </row>
    <row r="147" spans="1:12" x14ac:dyDescent="0.2">
      <c r="A147" s="111" t="s">
        <v>51</v>
      </c>
      <c r="B147" s="113" t="s">
        <v>281</v>
      </c>
      <c r="C147" s="111" t="s">
        <v>42</v>
      </c>
      <c r="D147" s="115">
        <v>6</v>
      </c>
      <c r="E147" s="136">
        <v>30.47</v>
      </c>
      <c r="F147" s="138">
        <f t="shared" si="28"/>
        <v>37.17</v>
      </c>
      <c r="G147" s="110">
        <f t="shared" si="29"/>
        <v>223.02</v>
      </c>
      <c r="H147" s="232">
        <v>38774</v>
      </c>
      <c r="I147" s="235"/>
      <c r="J147" s="211"/>
      <c r="K147" s="209"/>
      <c r="L147" s="95"/>
    </row>
    <row r="148" spans="1:12" ht="22.5" x14ac:dyDescent="0.2">
      <c r="A148" s="111" t="s">
        <v>76</v>
      </c>
      <c r="B148" s="113" t="s">
        <v>282</v>
      </c>
      <c r="C148" s="111" t="s">
        <v>42</v>
      </c>
      <c r="D148" s="115">
        <v>1</v>
      </c>
      <c r="E148" s="136">
        <v>390.26</v>
      </c>
      <c r="F148" s="138">
        <f t="shared" si="28"/>
        <v>476.12</v>
      </c>
      <c r="G148" s="110">
        <f t="shared" si="29"/>
        <v>476.12</v>
      </c>
      <c r="H148" s="232" t="s">
        <v>266</v>
      </c>
      <c r="I148" s="235"/>
      <c r="J148" s="211"/>
      <c r="K148" s="209"/>
      <c r="L148" s="95"/>
    </row>
    <row r="149" spans="1:12" s="122" customFormat="1" x14ac:dyDescent="0.2">
      <c r="A149" s="120"/>
      <c r="B149" s="114" t="s">
        <v>36</v>
      </c>
      <c r="C149" s="120"/>
      <c r="D149" s="126"/>
      <c r="E149" s="137"/>
      <c r="F149" s="137"/>
      <c r="G149" s="121">
        <f>SUM(G144:G148)</f>
        <v>1520.58</v>
      </c>
      <c r="H149" s="236"/>
      <c r="I149" s="239"/>
      <c r="J149" s="211">
        <f t="shared" si="19"/>
        <v>0</v>
      </c>
      <c r="K149" s="214"/>
      <c r="L149" s="123"/>
    </row>
    <row r="150" spans="1:12" s="93" customFormat="1" x14ac:dyDescent="0.2">
      <c r="A150" s="218">
        <v>14</v>
      </c>
      <c r="B150" s="219" t="s">
        <v>262</v>
      </c>
      <c r="C150" s="220"/>
      <c r="D150" s="222"/>
      <c r="E150" s="221"/>
      <c r="F150" s="221"/>
      <c r="G150" s="222"/>
      <c r="H150" s="243"/>
      <c r="I150" s="233"/>
      <c r="J150" s="211">
        <f t="shared" si="19"/>
        <v>0</v>
      </c>
      <c r="K150" s="212"/>
      <c r="L150" s="92"/>
    </row>
    <row r="151" spans="1:12" s="93" customFormat="1" x14ac:dyDescent="0.2">
      <c r="A151" s="127" t="s">
        <v>52</v>
      </c>
      <c r="B151" s="112" t="s">
        <v>326</v>
      </c>
      <c r="C151" s="111" t="s">
        <v>42</v>
      </c>
      <c r="D151" s="115">
        <v>4</v>
      </c>
      <c r="E151" s="136">
        <v>326.73</v>
      </c>
      <c r="F151" s="138">
        <f t="shared" ref="F151:F159" si="30">ROUND(E151*$G$2,2)</f>
        <v>398.61</v>
      </c>
      <c r="G151" s="110">
        <f t="shared" ref="G151:G159" si="31">ROUND(F151*D151,2)</f>
        <v>1594.44</v>
      </c>
      <c r="H151" s="234">
        <v>86931</v>
      </c>
      <c r="I151" s="233"/>
      <c r="J151" s="211"/>
      <c r="K151" s="212"/>
      <c r="L151" s="92"/>
    </row>
    <row r="152" spans="1:12" s="93" customFormat="1" x14ac:dyDescent="0.2">
      <c r="A152" s="127" t="s">
        <v>53</v>
      </c>
      <c r="B152" s="112" t="s">
        <v>327</v>
      </c>
      <c r="C152" s="111" t="s">
        <v>42</v>
      </c>
      <c r="D152" s="138">
        <v>2</v>
      </c>
      <c r="E152" s="136">
        <v>44.41</v>
      </c>
      <c r="F152" s="138">
        <f t="shared" si="30"/>
        <v>54.18</v>
      </c>
      <c r="G152" s="110">
        <f t="shared" si="31"/>
        <v>108.36</v>
      </c>
      <c r="H152" s="259">
        <v>9535</v>
      </c>
      <c r="I152" s="234">
        <v>1368</v>
      </c>
      <c r="J152" s="211">
        <f t="shared" si="19"/>
        <v>-38.414649999999995</v>
      </c>
      <c r="K152" s="212"/>
      <c r="L152" s="92"/>
    </row>
    <row r="153" spans="1:12" s="93" customFormat="1" x14ac:dyDescent="0.2">
      <c r="A153" s="127" t="s">
        <v>54</v>
      </c>
      <c r="B153" s="112" t="s">
        <v>328</v>
      </c>
      <c r="C153" s="111" t="s">
        <v>42</v>
      </c>
      <c r="D153" s="138">
        <v>3</v>
      </c>
      <c r="E153" s="136">
        <v>187.19</v>
      </c>
      <c r="F153" s="138">
        <f t="shared" si="30"/>
        <v>228.37</v>
      </c>
      <c r="G153" s="110">
        <f t="shared" si="31"/>
        <v>685.11</v>
      </c>
      <c r="H153" s="234">
        <v>86902</v>
      </c>
      <c r="I153" s="233"/>
      <c r="J153" s="211">
        <f t="shared" si="19"/>
        <v>-161.91935000000001</v>
      </c>
      <c r="K153" s="212"/>
      <c r="L153" s="92"/>
    </row>
    <row r="154" spans="1:12" s="93" customFormat="1" x14ac:dyDescent="0.2">
      <c r="A154" s="127" t="s">
        <v>177</v>
      </c>
      <c r="B154" s="112" t="s">
        <v>329</v>
      </c>
      <c r="C154" s="111" t="s">
        <v>42</v>
      </c>
      <c r="D154" s="138">
        <v>1</v>
      </c>
      <c r="E154" s="136">
        <v>95.89</v>
      </c>
      <c r="F154" s="138">
        <f t="shared" si="30"/>
        <v>116.99</v>
      </c>
      <c r="G154" s="110">
        <f t="shared" si="31"/>
        <v>116.99</v>
      </c>
      <c r="H154" s="234">
        <v>86904</v>
      </c>
      <c r="I154" s="233"/>
      <c r="J154" s="211">
        <f t="shared" si="19"/>
        <v>-82.944850000000002</v>
      </c>
      <c r="K154" s="212"/>
      <c r="L154" s="92"/>
    </row>
    <row r="155" spans="1:12" s="93" customFormat="1" x14ac:dyDescent="0.2">
      <c r="A155" s="127" t="s">
        <v>178</v>
      </c>
      <c r="B155" s="112" t="s">
        <v>283</v>
      </c>
      <c r="C155" s="111" t="s">
        <v>42</v>
      </c>
      <c r="D155" s="138">
        <v>2</v>
      </c>
      <c r="E155" s="136">
        <v>181.66</v>
      </c>
      <c r="F155" s="138">
        <f t="shared" si="30"/>
        <v>221.63</v>
      </c>
      <c r="G155" s="110">
        <f t="shared" si="31"/>
        <v>443.26</v>
      </c>
      <c r="H155" s="311" t="s">
        <v>372</v>
      </c>
      <c r="I155" s="233"/>
      <c r="J155" s="211">
        <f t="shared" si="19"/>
        <v>-157.13589999999999</v>
      </c>
      <c r="K155" s="212"/>
      <c r="L155" s="92"/>
    </row>
    <row r="156" spans="1:12" s="93" customFormat="1" x14ac:dyDescent="0.2">
      <c r="A156" s="127" t="s">
        <v>179</v>
      </c>
      <c r="B156" s="112" t="s">
        <v>330</v>
      </c>
      <c r="C156" s="111" t="s">
        <v>42</v>
      </c>
      <c r="D156" s="138">
        <v>4</v>
      </c>
      <c r="E156" s="136">
        <v>55.02</v>
      </c>
      <c r="F156" s="138">
        <f t="shared" si="30"/>
        <v>67.12</v>
      </c>
      <c r="G156" s="110">
        <f t="shared" si="31"/>
        <v>268.48</v>
      </c>
      <c r="H156" s="234">
        <v>86906</v>
      </c>
      <c r="I156" s="233"/>
      <c r="J156" s="211">
        <f t="shared" si="19"/>
        <v>-47.592300000000002</v>
      </c>
      <c r="K156" s="212"/>
      <c r="L156" s="92"/>
    </row>
    <row r="157" spans="1:12" s="93" customFormat="1" x14ac:dyDescent="0.2">
      <c r="A157" s="127" t="s">
        <v>190</v>
      </c>
      <c r="B157" s="112" t="s">
        <v>331</v>
      </c>
      <c r="C157" s="111" t="s">
        <v>42</v>
      </c>
      <c r="D157" s="138">
        <v>2</v>
      </c>
      <c r="E157" s="136">
        <v>46.63</v>
      </c>
      <c r="F157" s="138">
        <f t="shared" si="30"/>
        <v>56.89</v>
      </c>
      <c r="G157" s="110">
        <f t="shared" si="31"/>
        <v>113.78</v>
      </c>
      <c r="H157" s="234">
        <v>86911</v>
      </c>
      <c r="I157" s="233"/>
      <c r="J157" s="211">
        <f t="shared" si="19"/>
        <v>-40.334949999999999</v>
      </c>
      <c r="K157" s="212"/>
      <c r="L157" s="92"/>
    </row>
    <row r="158" spans="1:12" s="93" customFormat="1" x14ac:dyDescent="0.2">
      <c r="A158" s="127" t="s">
        <v>191</v>
      </c>
      <c r="B158" s="112" t="s">
        <v>332</v>
      </c>
      <c r="C158" s="111" t="s">
        <v>42</v>
      </c>
      <c r="D158" s="138">
        <v>1</v>
      </c>
      <c r="E158" s="136">
        <v>454.06</v>
      </c>
      <c r="F158" s="138">
        <f t="shared" si="30"/>
        <v>553.95000000000005</v>
      </c>
      <c r="G158" s="110">
        <f t="shared" si="31"/>
        <v>553.95000000000005</v>
      </c>
      <c r="H158" s="232" t="s">
        <v>274</v>
      </c>
      <c r="I158" s="233"/>
      <c r="J158" s="211">
        <f t="shared" si="19"/>
        <v>-392.76190000000003</v>
      </c>
      <c r="K158" s="212"/>
      <c r="L158" s="92"/>
    </row>
    <row r="159" spans="1:12" s="93" customFormat="1" ht="12.75" customHeight="1" x14ac:dyDescent="0.2">
      <c r="A159" s="127" t="s">
        <v>192</v>
      </c>
      <c r="B159" s="112" t="s">
        <v>333</v>
      </c>
      <c r="C159" s="111" t="s">
        <v>42</v>
      </c>
      <c r="D159" s="138">
        <v>1</v>
      </c>
      <c r="E159" s="136">
        <v>182.26</v>
      </c>
      <c r="F159" s="138">
        <f t="shared" si="30"/>
        <v>222.36</v>
      </c>
      <c r="G159" s="110">
        <f t="shared" si="31"/>
        <v>222.36</v>
      </c>
      <c r="H159" s="234">
        <v>86876</v>
      </c>
      <c r="I159" s="233"/>
      <c r="J159" s="211">
        <f t="shared" si="19"/>
        <v>-157.6549</v>
      </c>
      <c r="K159" s="212"/>
      <c r="L159" s="92"/>
    </row>
    <row r="160" spans="1:12" s="124" customFormat="1" x14ac:dyDescent="0.2">
      <c r="A160" s="120"/>
      <c r="B160" s="114" t="s">
        <v>36</v>
      </c>
      <c r="C160" s="120"/>
      <c r="D160" s="126"/>
      <c r="E160" s="137"/>
      <c r="F160" s="137"/>
      <c r="G160" s="121">
        <f>SUM(G151:G159)</f>
        <v>4106.7299999999996</v>
      </c>
      <c r="H160" s="236"/>
      <c r="I160" s="239"/>
      <c r="J160" s="211">
        <f t="shared" si="19"/>
        <v>0</v>
      </c>
      <c r="K160" s="215"/>
      <c r="L160" s="125"/>
    </row>
    <row r="161" spans="1:12" s="93" customFormat="1" x14ac:dyDescent="0.2">
      <c r="A161" s="218">
        <v>15</v>
      </c>
      <c r="B161" s="219" t="s">
        <v>72</v>
      </c>
      <c r="C161" s="220"/>
      <c r="D161" s="222"/>
      <c r="E161" s="221"/>
      <c r="F161" s="221"/>
      <c r="G161" s="222"/>
      <c r="H161" s="243"/>
      <c r="I161" s="233"/>
      <c r="J161" s="211">
        <f t="shared" si="19"/>
        <v>0</v>
      </c>
      <c r="K161" s="212"/>
      <c r="L161" s="92"/>
    </row>
    <row r="162" spans="1:12" s="93" customFormat="1" x14ac:dyDescent="0.2">
      <c r="A162" s="127" t="s">
        <v>160</v>
      </c>
      <c r="B162" s="112" t="s">
        <v>370</v>
      </c>
      <c r="C162" s="111" t="s">
        <v>42</v>
      </c>
      <c r="D162" s="115">
        <v>1</v>
      </c>
      <c r="E162" s="136">
        <v>626.22</v>
      </c>
      <c r="F162" s="138">
        <f t="shared" ref="F162:F163" si="32">ROUND(E162*$G$2,2)</f>
        <v>763.99</v>
      </c>
      <c r="G162" s="110">
        <f t="shared" ref="G162:G171" si="33">ROUND(F162*D162,2)</f>
        <v>763.99</v>
      </c>
      <c r="H162" s="312" t="s">
        <v>369</v>
      </c>
      <c r="I162" s="233"/>
      <c r="J162" s="211"/>
      <c r="K162" s="212"/>
      <c r="L162" s="92"/>
    </row>
    <row r="163" spans="1:12" s="93" customFormat="1" hidden="1" x14ac:dyDescent="0.2">
      <c r="A163" s="127" t="s">
        <v>275</v>
      </c>
      <c r="B163" s="173" t="s">
        <v>171</v>
      </c>
      <c r="C163" s="111" t="s">
        <v>7</v>
      </c>
      <c r="D163" s="115"/>
      <c r="E163" s="136">
        <v>62.95</v>
      </c>
      <c r="F163" s="138">
        <f t="shared" si="32"/>
        <v>76.8</v>
      </c>
      <c r="G163" s="110">
        <f t="shared" si="33"/>
        <v>0</v>
      </c>
      <c r="H163" s="234" t="s">
        <v>170</v>
      </c>
      <c r="I163" s="233"/>
      <c r="J163" s="211">
        <f t="shared" si="19"/>
        <v>-54.451750000000004</v>
      </c>
      <c r="K163" s="212"/>
      <c r="L163" s="92"/>
    </row>
    <row r="164" spans="1:12" hidden="1" x14ac:dyDescent="0.2">
      <c r="A164" s="127" t="s">
        <v>276</v>
      </c>
      <c r="B164" s="112" t="s">
        <v>131</v>
      </c>
      <c r="C164" s="111" t="s">
        <v>9</v>
      </c>
      <c r="D164" s="138"/>
      <c r="E164" s="136">
        <v>4.51</v>
      </c>
      <c r="F164" s="138">
        <f t="shared" ref="F164:F171" si="34">ROUND(E164*$G$2,2)</f>
        <v>5.5</v>
      </c>
      <c r="G164" s="110">
        <f t="shared" si="33"/>
        <v>0</v>
      </c>
      <c r="H164" s="234" t="s">
        <v>130</v>
      </c>
      <c r="I164" s="233"/>
      <c r="J164" s="211">
        <f t="shared" si="19"/>
        <v>-3.9011499999999999</v>
      </c>
      <c r="K164" s="209"/>
      <c r="L164" s="95"/>
    </row>
    <row r="165" spans="1:12" s="93" customFormat="1" ht="15" hidden="1" customHeight="1" x14ac:dyDescent="0.2">
      <c r="A165" s="127" t="s">
        <v>277</v>
      </c>
      <c r="B165" s="112" t="s">
        <v>75</v>
      </c>
      <c r="C165" s="111" t="s">
        <v>7</v>
      </c>
      <c r="D165" s="138"/>
      <c r="E165" s="136">
        <v>4.32</v>
      </c>
      <c r="F165" s="138">
        <f t="shared" si="34"/>
        <v>5.27</v>
      </c>
      <c r="G165" s="110">
        <f t="shared" si="33"/>
        <v>0</v>
      </c>
      <c r="H165" s="234" t="s">
        <v>132</v>
      </c>
      <c r="I165" s="233"/>
      <c r="J165" s="211">
        <f t="shared" si="19"/>
        <v>-3.7368000000000001</v>
      </c>
      <c r="K165" s="212"/>
      <c r="L165" s="92"/>
    </row>
    <row r="166" spans="1:12" s="93" customFormat="1" ht="15" hidden="1" customHeight="1" x14ac:dyDescent="0.2">
      <c r="A166" s="127" t="s">
        <v>278</v>
      </c>
      <c r="B166" s="112" t="s">
        <v>74</v>
      </c>
      <c r="C166" s="111" t="s">
        <v>7</v>
      </c>
      <c r="D166" s="138"/>
      <c r="E166" s="136">
        <v>4.9000000000000004</v>
      </c>
      <c r="F166" s="138">
        <f t="shared" si="34"/>
        <v>5.98</v>
      </c>
      <c r="G166" s="110">
        <f t="shared" si="33"/>
        <v>0</v>
      </c>
      <c r="H166" s="234" t="s">
        <v>133</v>
      </c>
      <c r="I166" s="233"/>
      <c r="J166" s="211">
        <f t="shared" si="19"/>
        <v>-4.2385000000000002</v>
      </c>
      <c r="K166" s="212"/>
      <c r="L166" s="92"/>
    </row>
    <row r="167" spans="1:12" s="93" customFormat="1" ht="15" hidden="1" customHeight="1" x14ac:dyDescent="0.2">
      <c r="A167" s="127" t="s">
        <v>279</v>
      </c>
      <c r="B167" s="112" t="s">
        <v>82</v>
      </c>
      <c r="C167" s="111" t="s">
        <v>7</v>
      </c>
      <c r="D167" s="138"/>
      <c r="E167" s="136">
        <v>1834.13</v>
      </c>
      <c r="F167" s="138">
        <f t="shared" si="34"/>
        <v>2237.64</v>
      </c>
      <c r="G167" s="110">
        <f t="shared" si="33"/>
        <v>0</v>
      </c>
      <c r="H167" s="234" t="s">
        <v>83</v>
      </c>
      <c r="I167" s="233"/>
      <c r="J167" s="211">
        <f t="shared" si="19"/>
        <v>-1586.5224500000002</v>
      </c>
      <c r="K167" s="212"/>
      <c r="L167" s="92"/>
    </row>
    <row r="168" spans="1:12" s="93" customFormat="1" x14ac:dyDescent="0.2">
      <c r="A168" s="127" t="s">
        <v>275</v>
      </c>
      <c r="B168" s="112" t="s">
        <v>250</v>
      </c>
      <c r="C168" s="111" t="s">
        <v>42</v>
      </c>
      <c r="D168" s="138">
        <v>2</v>
      </c>
      <c r="E168" s="136">
        <v>15.54</v>
      </c>
      <c r="F168" s="138">
        <f t="shared" si="34"/>
        <v>18.96</v>
      </c>
      <c r="G168" s="110">
        <f t="shared" si="33"/>
        <v>37.92</v>
      </c>
      <c r="H168" s="232">
        <v>94703</v>
      </c>
      <c r="I168" s="233"/>
      <c r="J168" s="211">
        <f t="shared" si="19"/>
        <v>-13.4421</v>
      </c>
      <c r="K168" s="212"/>
      <c r="L168" s="92"/>
    </row>
    <row r="169" spans="1:12" s="93" customFormat="1" x14ac:dyDescent="0.2">
      <c r="A169" s="127" t="s">
        <v>276</v>
      </c>
      <c r="B169" s="112" t="s">
        <v>476</v>
      </c>
      <c r="C169" s="111" t="s">
        <v>42</v>
      </c>
      <c r="D169" s="138">
        <v>14</v>
      </c>
      <c r="E169" s="136">
        <v>111.36</v>
      </c>
      <c r="F169" s="138">
        <f t="shared" si="34"/>
        <v>135.86000000000001</v>
      </c>
      <c r="G169" s="110">
        <f t="shared" si="33"/>
        <v>1902.04</v>
      </c>
      <c r="H169" s="232">
        <v>89957</v>
      </c>
      <c r="I169" s="233"/>
      <c r="J169" s="211">
        <f t="shared" si="19"/>
        <v>-96.326400000000007</v>
      </c>
      <c r="K169" s="212"/>
      <c r="L169" s="92"/>
    </row>
    <row r="170" spans="1:12" s="93" customFormat="1" x14ac:dyDescent="0.2">
      <c r="A170" s="127" t="s">
        <v>277</v>
      </c>
      <c r="B170" s="112" t="s">
        <v>335</v>
      </c>
      <c r="C170" s="111" t="s">
        <v>42</v>
      </c>
      <c r="D170" s="138">
        <v>6</v>
      </c>
      <c r="E170" s="136">
        <v>58.52</v>
      </c>
      <c r="F170" s="138">
        <f t="shared" si="34"/>
        <v>71.39</v>
      </c>
      <c r="G170" s="110">
        <f t="shared" si="33"/>
        <v>428.34</v>
      </c>
      <c r="H170" s="232">
        <v>89986</v>
      </c>
      <c r="I170" s="233"/>
      <c r="J170" s="211">
        <f t="shared" si="19"/>
        <v>-50.619800000000005</v>
      </c>
      <c r="K170" s="212"/>
      <c r="L170" s="92"/>
    </row>
    <row r="171" spans="1:12" s="93" customFormat="1" x14ac:dyDescent="0.2">
      <c r="A171" s="127" t="s">
        <v>278</v>
      </c>
      <c r="B171" s="112" t="s">
        <v>334</v>
      </c>
      <c r="C171" s="111" t="s">
        <v>42</v>
      </c>
      <c r="D171" s="138">
        <v>2</v>
      </c>
      <c r="E171" s="136">
        <v>59.93</v>
      </c>
      <c r="F171" s="138">
        <f t="shared" si="34"/>
        <v>73.11</v>
      </c>
      <c r="G171" s="110">
        <f t="shared" si="33"/>
        <v>146.22</v>
      </c>
      <c r="H171" s="232">
        <v>89984</v>
      </c>
      <c r="I171" s="233"/>
      <c r="J171" s="211">
        <f t="shared" si="19"/>
        <v>-51.839449999999999</v>
      </c>
      <c r="K171" s="212"/>
      <c r="L171" s="92"/>
    </row>
    <row r="172" spans="1:12" s="93" customFormat="1" x14ac:dyDescent="0.2">
      <c r="A172" s="127" t="s">
        <v>278</v>
      </c>
      <c r="B172" s="112" t="s">
        <v>371</v>
      </c>
      <c r="C172" s="111" t="s">
        <v>9</v>
      </c>
      <c r="D172" s="138">
        <v>91</v>
      </c>
      <c r="E172" s="136">
        <v>33.700000000000003</v>
      </c>
      <c r="F172" s="138">
        <f t="shared" ref="F172" si="35">ROUND(E172*$G$2,2)</f>
        <v>41.11</v>
      </c>
      <c r="G172" s="110">
        <f t="shared" ref="G172" si="36">ROUND(F172*D172,2)</f>
        <v>3741.01</v>
      </c>
      <c r="H172" s="232">
        <v>91785</v>
      </c>
      <c r="I172" s="233"/>
      <c r="J172" s="211">
        <f t="shared" ref="J172" si="37">(((E172*0.45)*0.3)-E172)</f>
        <v>-29.150500000000001</v>
      </c>
      <c r="K172" s="212"/>
      <c r="L172" s="92"/>
    </row>
    <row r="173" spans="1:12" s="124" customFormat="1" x14ac:dyDescent="0.2">
      <c r="A173" s="120"/>
      <c r="B173" s="114" t="s">
        <v>36</v>
      </c>
      <c r="C173" s="120"/>
      <c r="D173" s="126"/>
      <c r="E173" s="137"/>
      <c r="F173" s="137"/>
      <c r="G173" s="121">
        <f>SUM(G162:G172)</f>
        <v>7019.52</v>
      </c>
      <c r="H173" s="236"/>
      <c r="I173" s="239"/>
      <c r="J173" s="211">
        <f t="shared" si="19"/>
        <v>0</v>
      </c>
      <c r="K173" s="215"/>
      <c r="L173" s="125"/>
    </row>
    <row r="174" spans="1:12" s="93" customFormat="1" x14ac:dyDescent="0.2">
      <c r="A174" s="218">
        <v>16</v>
      </c>
      <c r="B174" s="219" t="s">
        <v>73</v>
      </c>
      <c r="C174" s="220"/>
      <c r="D174" s="222"/>
      <c r="E174" s="221"/>
      <c r="F174" s="221"/>
      <c r="G174" s="225"/>
      <c r="H174" s="243"/>
      <c r="I174" s="233"/>
      <c r="J174" s="211">
        <f t="shared" si="19"/>
        <v>0</v>
      </c>
      <c r="K174" s="212"/>
      <c r="L174" s="92"/>
    </row>
    <row r="175" spans="1:12" hidden="1" x14ac:dyDescent="0.2">
      <c r="A175" s="127" t="s">
        <v>31</v>
      </c>
      <c r="B175" s="112" t="s">
        <v>139</v>
      </c>
      <c r="C175" s="111" t="s">
        <v>7</v>
      </c>
      <c r="D175" s="138"/>
      <c r="E175" s="136">
        <v>22.89</v>
      </c>
      <c r="F175" s="138">
        <f t="shared" ref="F175:F193" si="38">ROUND(E175*$G$2,2)</f>
        <v>27.93</v>
      </c>
      <c r="G175" s="121">
        <f>SUM(G165:G174)</f>
        <v>13275.050000000001</v>
      </c>
      <c r="H175" s="234" t="s">
        <v>113</v>
      </c>
      <c r="I175" s="233"/>
      <c r="J175" s="211">
        <f t="shared" si="19"/>
        <v>-19.799849999999999</v>
      </c>
      <c r="K175" s="209"/>
      <c r="L175" s="95"/>
    </row>
    <row r="176" spans="1:12" s="93" customFormat="1" ht="15" hidden="1" customHeight="1" x14ac:dyDescent="0.2">
      <c r="A176" s="127" t="s">
        <v>44</v>
      </c>
      <c r="B176" s="112" t="s">
        <v>134</v>
      </c>
      <c r="C176" s="111" t="s">
        <v>7</v>
      </c>
      <c r="D176" s="138"/>
      <c r="E176" s="136">
        <v>253.65</v>
      </c>
      <c r="F176" s="138">
        <f t="shared" si="38"/>
        <v>309.45</v>
      </c>
      <c r="G176" s="121">
        <f>SUM(G166:G175)</f>
        <v>26550.100000000002</v>
      </c>
      <c r="H176" s="234" t="s">
        <v>135</v>
      </c>
      <c r="I176" s="233"/>
      <c r="J176" s="211">
        <f t="shared" si="19"/>
        <v>-219.40725</v>
      </c>
      <c r="K176" s="212"/>
      <c r="L176" s="92"/>
    </row>
    <row r="177" spans="1:12" s="93" customFormat="1" ht="15" hidden="1" customHeight="1" x14ac:dyDescent="0.2">
      <c r="A177" s="127" t="s">
        <v>51</v>
      </c>
      <c r="B177" s="112" t="s">
        <v>84</v>
      </c>
      <c r="C177" s="111" t="s">
        <v>7</v>
      </c>
      <c r="D177" s="138"/>
      <c r="E177" s="161">
        <v>502.19</v>
      </c>
      <c r="F177" s="138">
        <f t="shared" si="38"/>
        <v>612.66999999999996</v>
      </c>
      <c r="G177" s="121">
        <f>SUM(G167:G176)</f>
        <v>53100.200000000004</v>
      </c>
      <c r="H177" s="251" t="s">
        <v>150</v>
      </c>
      <c r="I177" s="233"/>
      <c r="J177" s="211">
        <f t="shared" si="19"/>
        <v>-434.39435000000003</v>
      </c>
      <c r="K177" s="212"/>
      <c r="L177" s="92"/>
    </row>
    <row r="178" spans="1:12" hidden="1" x14ac:dyDescent="0.2">
      <c r="A178" s="127" t="s">
        <v>76</v>
      </c>
      <c r="B178" s="112" t="s">
        <v>147</v>
      </c>
      <c r="C178" s="111" t="s">
        <v>7</v>
      </c>
      <c r="D178" s="138"/>
      <c r="E178" s="161">
        <v>44.75</v>
      </c>
      <c r="F178" s="138">
        <f t="shared" si="38"/>
        <v>54.6</v>
      </c>
      <c r="G178" s="121">
        <f t="shared" ref="G178:G180" si="39">SUM(G173:G177)</f>
        <v>99944.87</v>
      </c>
      <c r="H178" s="234" t="s">
        <v>146</v>
      </c>
      <c r="I178" s="252"/>
      <c r="J178" s="211">
        <f t="shared" si="19"/>
        <v>-38.708750000000002</v>
      </c>
      <c r="K178" s="209"/>
      <c r="L178" s="95"/>
    </row>
    <row r="179" spans="1:12" s="93" customFormat="1" ht="15" hidden="1" customHeight="1" x14ac:dyDescent="0.2">
      <c r="A179" s="127" t="s">
        <v>176</v>
      </c>
      <c r="B179" s="112" t="s">
        <v>140</v>
      </c>
      <c r="C179" s="111" t="s">
        <v>7</v>
      </c>
      <c r="D179" s="138"/>
      <c r="E179" s="136">
        <v>14.1</v>
      </c>
      <c r="F179" s="138">
        <f t="shared" si="38"/>
        <v>17.2</v>
      </c>
      <c r="G179" s="121">
        <f t="shared" si="39"/>
        <v>192870.22</v>
      </c>
      <c r="H179" s="247" t="s">
        <v>153</v>
      </c>
      <c r="I179" s="233"/>
      <c r="J179" s="211">
        <f t="shared" si="19"/>
        <v>-12.1965</v>
      </c>
      <c r="K179" s="212"/>
      <c r="L179" s="92"/>
    </row>
    <row r="180" spans="1:12" s="93" customFormat="1" ht="15" hidden="1" customHeight="1" x14ac:dyDescent="0.2">
      <c r="A180" s="127" t="s">
        <v>189</v>
      </c>
      <c r="B180" s="112" t="s">
        <v>141</v>
      </c>
      <c r="C180" s="111" t="s">
        <v>7</v>
      </c>
      <c r="D180" s="138"/>
      <c r="E180" s="136">
        <v>42.38</v>
      </c>
      <c r="F180" s="138">
        <f t="shared" si="38"/>
        <v>51.7</v>
      </c>
      <c r="G180" s="121">
        <f t="shared" si="39"/>
        <v>385740.44</v>
      </c>
      <c r="H180" s="247" t="s">
        <v>154</v>
      </c>
      <c r="I180" s="233"/>
      <c r="J180" s="211">
        <f t="shared" si="19"/>
        <v>-36.658700000000003</v>
      </c>
      <c r="K180" s="212"/>
      <c r="L180" s="92"/>
    </row>
    <row r="181" spans="1:12" s="93" customFormat="1" x14ac:dyDescent="0.2">
      <c r="A181" s="127" t="s">
        <v>299</v>
      </c>
      <c r="B181" s="112" t="s">
        <v>336</v>
      </c>
      <c r="C181" s="111" t="s">
        <v>42</v>
      </c>
      <c r="D181" s="138">
        <v>8</v>
      </c>
      <c r="E181" s="136">
        <v>183.12</v>
      </c>
      <c r="F181" s="138">
        <f t="shared" si="38"/>
        <v>223.41</v>
      </c>
      <c r="G181" s="110">
        <f t="shared" ref="G181:G193" si="40">ROUND(F181*D181,2)</f>
        <v>1787.28</v>
      </c>
      <c r="H181" s="232" t="s">
        <v>261</v>
      </c>
      <c r="I181" s="233"/>
      <c r="J181" s="211">
        <f t="shared" si="19"/>
        <v>-158.39879999999999</v>
      </c>
      <c r="K181" s="212"/>
      <c r="L181" s="92"/>
    </row>
    <row r="182" spans="1:12" s="93" customFormat="1" x14ac:dyDescent="0.2">
      <c r="A182" s="127" t="s">
        <v>300</v>
      </c>
      <c r="B182" s="112" t="s">
        <v>337</v>
      </c>
      <c r="C182" s="111" t="s">
        <v>42</v>
      </c>
      <c r="D182" s="138">
        <v>2</v>
      </c>
      <c r="E182" s="136">
        <v>55.35</v>
      </c>
      <c r="F182" s="138">
        <f t="shared" si="38"/>
        <v>67.53</v>
      </c>
      <c r="G182" s="110">
        <f t="shared" si="40"/>
        <v>135.06</v>
      </c>
      <c r="H182" s="321" t="s">
        <v>260</v>
      </c>
      <c r="I182" s="245">
        <v>98102</v>
      </c>
      <c r="J182" s="211">
        <f t="shared" si="19"/>
        <v>-47.877749999999999</v>
      </c>
      <c r="K182" s="212"/>
      <c r="L182" s="92"/>
    </row>
    <row r="183" spans="1:12" s="93" customFormat="1" x14ac:dyDescent="0.2">
      <c r="A183" s="127" t="s">
        <v>301</v>
      </c>
      <c r="B183" s="112" t="s">
        <v>338</v>
      </c>
      <c r="C183" s="111" t="s">
        <v>9</v>
      </c>
      <c r="D183" s="138">
        <v>30</v>
      </c>
      <c r="E183" s="136">
        <v>15.38</v>
      </c>
      <c r="F183" s="138">
        <f t="shared" si="38"/>
        <v>18.760000000000002</v>
      </c>
      <c r="G183" s="110">
        <f t="shared" si="40"/>
        <v>562.79999999999995</v>
      </c>
      <c r="H183" s="232">
        <v>89800</v>
      </c>
      <c r="I183" s="233"/>
      <c r="J183" s="211">
        <f t="shared" si="19"/>
        <v>-13.303700000000001</v>
      </c>
      <c r="K183" s="212"/>
      <c r="L183" s="92"/>
    </row>
    <row r="184" spans="1:12" s="93" customFormat="1" x14ac:dyDescent="0.2">
      <c r="A184" s="127" t="s">
        <v>302</v>
      </c>
      <c r="B184" s="112" t="s">
        <v>338</v>
      </c>
      <c r="C184" s="111" t="s">
        <v>9</v>
      </c>
      <c r="D184" s="138">
        <v>30.5</v>
      </c>
      <c r="E184" s="136">
        <v>12.05</v>
      </c>
      <c r="F184" s="138">
        <f t="shared" ref="F184" si="41">ROUND(E184*$G$2,2)</f>
        <v>14.7</v>
      </c>
      <c r="G184" s="110">
        <f t="shared" ref="G184" si="42">ROUND(F184*D184,2)</f>
        <v>448.35</v>
      </c>
      <c r="H184" s="232">
        <v>89799</v>
      </c>
      <c r="I184" s="233"/>
      <c r="J184" s="211">
        <f t="shared" ref="J184" si="43">(((E184*0.45)*0.3)-E184)</f>
        <v>-10.423250000000001</v>
      </c>
      <c r="K184" s="212"/>
      <c r="L184" s="92"/>
    </row>
    <row r="185" spans="1:12" s="93" customFormat="1" x14ac:dyDescent="0.2">
      <c r="A185" s="127" t="s">
        <v>303</v>
      </c>
      <c r="B185" s="112" t="s">
        <v>339</v>
      </c>
      <c r="C185" s="111" t="s">
        <v>42</v>
      </c>
      <c r="D185" s="138">
        <v>16</v>
      </c>
      <c r="E185" s="136">
        <v>7.78</v>
      </c>
      <c r="F185" s="138">
        <f>ROUND(E185*$G$2,2)</f>
        <v>9.49</v>
      </c>
      <c r="G185" s="110">
        <f t="shared" si="40"/>
        <v>151.84</v>
      </c>
      <c r="H185" s="232">
        <v>89731</v>
      </c>
      <c r="I185" s="233"/>
      <c r="J185" s="211">
        <f t="shared" si="19"/>
        <v>-6.7297000000000002</v>
      </c>
      <c r="K185" s="212"/>
      <c r="L185" s="92"/>
    </row>
    <row r="186" spans="1:12" s="93" customFormat="1" x14ac:dyDescent="0.2">
      <c r="A186" s="127" t="s">
        <v>304</v>
      </c>
      <c r="B186" s="112" t="s">
        <v>340</v>
      </c>
      <c r="C186" s="111" t="s">
        <v>42</v>
      </c>
      <c r="D186" s="138">
        <v>6</v>
      </c>
      <c r="E186" s="136">
        <v>14.26</v>
      </c>
      <c r="F186" s="138">
        <f t="shared" si="38"/>
        <v>17.399999999999999</v>
      </c>
      <c r="G186" s="110">
        <f t="shared" si="40"/>
        <v>104.4</v>
      </c>
      <c r="H186" s="232">
        <v>89733</v>
      </c>
      <c r="I186" s="233"/>
      <c r="J186" s="211">
        <f t="shared" si="19"/>
        <v>-12.334899999999999</v>
      </c>
      <c r="K186" s="212"/>
      <c r="L186" s="92"/>
    </row>
    <row r="187" spans="1:12" s="93" customFormat="1" x14ac:dyDescent="0.2">
      <c r="A187" s="127" t="s">
        <v>305</v>
      </c>
      <c r="B187" s="112" t="s">
        <v>341</v>
      </c>
      <c r="C187" s="111" t="s">
        <v>42</v>
      </c>
      <c r="D187" s="138">
        <v>6</v>
      </c>
      <c r="E187" s="136">
        <v>29.15</v>
      </c>
      <c r="F187" s="138">
        <f t="shared" si="38"/>
        <v>35.56</v>
      </c>
      <c r="G187" s="110">
        <f t="shared" si="40"/>
        <v>213.36</v>
      </c>
      <c r="H187" s="232">
        <v>89748</v>
      </c>
      <c r="I187" s="233"/>
      <c r="J187" s="211">
        <f t="shared" si="19"/>
        <v>-25.214749999999999</v>
      </c>
      <c r="K187" s="212"/>
      <c r="L187" s="92"/>
    </row>
    <row r="188" spans="1:12" s="93" customFormat="1" x14ac:dyDescent="0.2">
      <c r="A188" s="127" t="s">
        <v>306</v>
      </c>
      <c r="B188" s="112" t="s">
        <v>342</v>
      </c>
      <c r="C188" s="111" t="s">
        <v>42</v>
      </c>
      <c r="D188" s="138">
        <v>3</v>
      </c>
      <c r="E188" s="136">
        <v>30.72</v>
      </c>
      <c r="F188" s="138">
        <f t="shared" si="38"/>
        <v>37.479999999999997</v>
      </c>
      <c r="G188" s="110">
        <f t="shared" si="40"/>
        <v>112.44</v>
      </c>
      <c r="H188" s="232">
        <v>89797</v>
      </c>
      <c r="I188" s="233"/>
      <c r="J188" s="211">
        <f t="shared" si="19"/>
        <v>-26.572800000000001</v>
      </c>
      <c r="K188" s="212"/>
      <c r="L188" s="92"/>
    </row>
    <row r="189" spans="1:12" s="93" customFormat="1" x14ac:dyDescent="0.2">
      <c r="A189" s="127" t="s">
        <v>307</v>
      </c>
      <c r="B189" s="112" t="s">
        <v>343</v>
      </c>
      <c r="C189" s="111" t="s">
        <v>42</v>
      </c>
      <c r="D189" s="138">
        <v>3</v>
      </c>
      <c r="E189" s="136">
        <v>14.04</v>
      </c>
      <c r="F189" s="138">
        <f t="shared" si="38"/>
        <v>17.13</v>
      </c>
      <c r="G189" s="110">
        <f t="shared" si="40"/>
        <v>51.39</v>
      </c>
      <c r="H189" s="232">
        <v>89785</v>
      </c>
      <c r="I189" s="233"/>
      <c r="J189" s="211">
        <f t="shared" si="19"/>
        <v>-12.144599999999999</v>
      </c>
      <c r="K189" s="212"/>
      <c r="L189" s="92"/>
    </row>
    <row r="190" spans="1:12" s="93" customFormat="1" x14ac:dyDescent="0.2">
      <c r="A190" s="127" t="s">
        <v>308</v>
      </c>
      <c r="B190" s="112" t="s">
        <v>344</v>
      </c>
      <c r="C190" s="111" t="s">
        <v>9</v>
      </c>
      <c r="D190" s="138">
        <v>36</v>
      </c>
      <c r="E190" s="136">
        <v>7.4</v>
      </c>
      <c r="F190" s="138">
        <f t="shared" si="38"/>
        <v>9.0299999999999994</v>
      </c>
      <c r="G190" s="110">
        <f t="shared" si="40"/>
        <v>325.08</v>
      </c>
      <c r="H190" s="232">
        <v>89798</v>
      </c>
      <c r="I190" s="233"/>
      <c r="J190" s="211"/>
      <c r="K190" s="212"/>
      <c r="L190" s="92"/>
    </row>
    <row r="191" spans="1:12" s="93" customFormat="1" x14ac:dyDescent="0.2">
      <c r="A191" s="303" t="s">
        <v>309</v>
      </c>
      <c r="B191" s="154" t="s">
        <v>345</v>
      </c>
      <c r="C191" s="148" t="s">
        <v>42</v>
      </c>
      <c r="D191" s="115">
        <v>1</v>
      </c>
      <c r="E191" s="161">
        <v>4400</v>
      </c>
      <c r="F191" s="115">
        <f t="shared" si="38"/>
        <v>5368</v>
      </c>
      <c r="G191" s="115">
        <f t="shared" si="40"/>
        <v>5368</v>
      </c>
      <c r="H191" s="321" t="s">
        <v>150</v>
      </c>
      <c r="I191" s="235"/>
      <c r="J191" s="304"/>
      <c r="K191" s="212"/>
      <c r="L191" s="306"/>
    </row>
    <row r="192" spans="1:12" s="93" customFormat="1" x14ac:dyDescent="0.2">
      <c r="A192" s="127" t="s">
        <v>310</v>
      </c>
      <c r="B192" s="112" t="s">
        <v>284</v>
      </c>
      <c r="C192" s="111" t="s">
        <v>42</v>
      </c>
      <c r="D192" s="138">
        <v>1</v>
      </c>
      <c r="E192" s="136">
        <v>7.5</v>
      </c>
      <c r="F192" s="138">
        <f t="shared" si="38"/>
        <v>9.15</v>
      </c>
      <c r="G192" s="110">
        <f t="shared" si="40"/>
        <v>9.15</v>
      </c>
      <c r="H192" s="232">
        <v>89710</v>
      </c>
      <c r="I192" s="233"/>
      <c r="J192" s="211"/>
      <c r="K192" s="212"/>
      <c r="L192" s="92"/>
    </row>
    <row r="193" spans="1:12" s="93" customFormat="1" x14ac:dyDescent="0.2">
      <c r="A193" s="127" t="s">
        <v>518</v>
      </c>
      <c r="B193" s="112" t="s">
        <v>285</v>
      </c>
      <c r="C193" s="111" t="s">
        <v>42</v>
      </c>
      <c r="D193" s="138">
        <v>3</v>
      </c>
      <c r="E193" s="136">
        <v>7.63</v>
      </c>
      <c r="F193" s="138">
        <f t="shared" si="38"/>
        <v>9.31</v>
      </c>
      <c r="G193" s="110">
        <f t="shared" si="40"/>
        <v>27.93</v>
      </c>
      <c r="H193" s="232">
        <v>89709</v>
      </c>
      <c r="I193" s="233"/>
      <c r="J193" s="211"/>
      <c r="K193" s="212"/>
      <c r="L193" s="92"/>
    </row>
    <row r="194" spans="1:12" s="124" customFormat="1" x14ac:dyDescent="0.2">
      <c r="A194" s="120"/>
      <c r="B194" s="114" t="s">
        <v>36</v>
      </c>
      <c r="C194" s="120"/>
      <c r="D194" s="126"/>
      <c r="E194" s="137"/>
      <c r="F194" s="137"/>
      <c r="G194" s="121">
        <f>SUM(G181:G193)</f>
        <v>9297.08</v>
      </c>
      <c r="H194" s="236"/>
      <c r="I194" s="239"/>
      <c r="J194" s="211">
        <f t="shared" si="19"/>
        <v>0</v>
      </c>
      <c r="K194" s="215"/>
      <c r="L194" s="125"/>
    </row>
    <row r="195" spans="1:12" s="124" customFormat="1" x14ac:dyDescent="0.2">
      <c r="A195" s="226">
        <v>17</v>
      </c>
      <c r="B195" s="219" t="s">
        <v>172</v>
      </c>
      <c r="C195" s="227"/>
      <c r="D195" s="222"/>
      <c r="E195" s="221"/>
      <c r="F195" s="228"/>
      <c r="G195" s="225"/>
      <c r="H195" s="236"/>
      <c r="I195" s="239"/>
      <c r="J195" s="211">
        <f t="shared" si="19"/>
        <v>0</v>
      </c>
      <c r="K195" s="215"/>
      <c r="L195" s="125"/>
    </row>
    <row r="196" spans="1:12" s="124" customFormat="1" x14ac:dyDescent="0.2">
      <c r="A196" s="111" t="s">
        <v>311</v>
      </c>
      <c r="B196" s="112" t="s">
        <v>470</v>
      </c>
      <c r="C196" s="111" t="s">
        <v>9</v>
      </c>
      <c r="D196" s="115">
        <v>2</v>
      </c>
      <c r="E196" s="161">
        <v>49</v>
      </c>
      <c r="F196" s="138">
        <f t="shared" ref="F196:F213" si="44">ROUND(E196*$G$2,2)</f>
        <v>59.78</v>
      </c>
      <c r="G196" s="110">
        <f t="shared" ref="G196:G213" si="45">ROUND(F196*D196,2)</f>
        <v>119.56</v>
      </c>
      <c r="H196" s="321" t="s">
        <v>451</v>
      </c>
      <c r="I196" s="317">
        <v>98228</v>
      </c>
      <c r="J196" s="211"/>
      <c r="K196" s="215"/>
      <c r="L196" s="125"/>
    </row>
    <row r="197" spans="1:12" s="124" customFormat="1" x14ac:dyDescent="0.2">
      <c r="A197" s="111" t="s">
        <v>312</v>
      </c>
      <c r="B197" s="112" t="s">
        <v>458</v>
      </c>
      <c r="C197" s="111" t="s">
        <v>4</v>
      </c>
      <c r="D197" s="115">
        <v>3.1910000000000001E-2</v>
      </c>
      <c r="E197" s="161">
        <v>418.45</v>
      </c>
      <c r="F197" s="138">
        <f t="shared" si="44"/>
        <v>510.51</v>
      </c>
      <c r="G197" s="110">
        <f t="shared" si="45"/>
        <v>16.29</v>
      </c>
      <c r="H197" s="232">
        <v>96620</v>
      </c>
      <c r="I197" s="239"/>
      <c r="J197" s="211"/>
      <c r="K197" s="215"/>
      <c r="L197" s="125"/>
    </row>
    <row r="198" spans="1:12" s="124" customFormat="1" x14ac:dyDescent="0.2">
      <c r="A198" s="111" t="s">
        <v>313</v>
      </c>
      <c r="B198" s="112" t="s">
        <v>471</v>
      </c>
      <c r="C198" s="111" t="s">
        <v>4</v>
      </c>
      <c r="D198" s="115">
        <v>1.5949999999999999E-2</v>
      </c>
      <c r="E198" s="161">
        <v>204.51</v>
      </c>
      <c r="F198" s="138">
        <f t="shared" si="44"/>
        <v>249.5</v>
      </c>
      <c r="G198" s="110">
        <f t="shared" si="45"/>
        <v>3.98</v>
      </c>
      <c r="H198" s="232">
        <v>94103</v>
      </c>
      <c r="I198" s="239"/>
      <c r="J198" s="211"/>
      <c r="K198" s="215"/>
      <c r="L198" s="125"/>
    </row>
    <row r="199" spans="1:12" s="124" customFormat="1" x14ac:dyDescent="0.2">
      <c r="A199" s="111" t="s">
        <v>459</v>
      </c>
      <c r="B199" s="112" t="s">
        <v>452</v>
      </c>
      <c r="C199" s="111" t="s">
        <v>3</v>
      </c>
      <c r="D199" s="115">
        <v>1.27</v>
      </c>
      <c r="E199" s="161">
        <v>60.42</v>
      </c>
      <c r="F199" s="138">
        <f t="shared" si="44"/>
        <v>73.709999999999994</v>
      </c>
      <c r="G199" s="110">
        <f t="shared" si="45"/>
        <v>93.61</v>
      </c>
      <c r="H199" s="321">
        <v>96534</v>
      </c>
      <c r="I199" s="239"/>
      <c r="J199" s="211"/>
      <c r="K199" s="215"/>
      <c r="L199" s="125"/>
    </row>
    <row r="200" spans="1:12" s="124" customFormat="1" x14ac:dyDescent="0.2">
      <c r="A200" s="111" t="s">
        <v>460</v>
      </c>
      <c r="B200" s="112" t="s">
        <v>472</v>
      </c>
      <c r="C200" s="111" t="s">
        <v>453</v>
      </c>
      <c r="D200" s="115">
        <v>6.33</v>
      </c>
      <c r="E200" s="161">
        <v>9.9</v>
      </c>
      <c r="F200" s="138">
        <f t="shared" si="44"/>
        <v>12.08</v>
      </c>
      <c r="G200" s="110">
        <f t="shared" si="45"/>
        <v>76.47</v>
      </c>
      <c r="H200" s="232">
        <v>92777</v>
      </c>
      <c r="I200" s="239"/>
      <c r="J200" s="211"/>
      <c r="K200" s="215"/>
      <c r="L200" s="125"/>
    </row>
    <row r="201" spans="1:12" s="124" customFormat="1" x14ac:dyDescent="0.2">
      <c r="A201" s="111" t="s">
        <v>461</v>
      </c>
      <c r="B201" s="112" t="s">
        <v>473</v>
      </c>
      <c r="C201" s="111" t="s">
        <v>4</v>
      </c>
      <c r="D201" s="115">
        <v>7.9200000000000007E-2</v>
      </c>
      <c r="E201" s="161">
        <v>275.29000000000002</v>
      </c>
      <c r="F201" s="138">
        <f t="shared" si="44"/>
        <v>335.85</v>
      </c>
      <c r="G201" s="110">
        <f t="shared" si="45"/>
        <v>26.6</v>
      </c>
      <c r="H201" s="232">
        <v>94963</v>
      </c>
      <c r="I201" s="239"/>
      <c r="J201" s="211"/>
      <c r="K201" s="215"/>
      <c r="L201" s="125"/>
    </row>
    <row r="202" spans="1:12" s="124" customFormat="1" ht="22.5" x14ac:dyDescent="0.2">
      <c r="A202" s="111" t="s">
        <v>462</v>
      </c>
      <c r="B202" s="112" t="s">
        <v>454</v>
      </c>
      <c r="C202" s="111" t="s">
        <v>4</v>
      </c>
      <c r="D202" s="115">
        <v>0.08</v>
      </c>
      <c r="E202" s="161">
        <v>171.13</v>
      </c>
      <c r="F202" s="138">
        <f t="shared" si="44"/>
        <v>208.78</v>
      </c>
      <c r="G202" s="110">
        <f t="shared" si="45"/>
        <v>16.7</v>
      </c>
      <c r="H202" s="232">
        <v>92873</v>
      </c>
      <c r="I202" s="239"/>
      <c r="J202" s="211"/>
      <c r="K202" s="215"/>
      <c r="L202" s="125"/>
    </row>
    <row r="203" spans="1:12" s="124" customFormat="1" ht="22.5" x14ac:dyDescent="0.2">
      <c r="A203" s="111" t="s">
        <v>463</v>
      </c>
      <c r="B203" s="112" t="s">
        <v>520</v>
      </c>
      <c r="C203" s="111" t="s">
        <v>3</v>
      </c>
      <c r="D203" s="115">
        <v>3.64</v>
      </c>
      <c r="E203" s="161">
        <v>123.95</v>
      </c>
      <c r="F203" s="138">
        <f t="shared" si="44"/>
        <v>151.22</v>
      </c>
      <c r="G203" s="110">
        <f t="shared" si="45"/>
        <v>550.44000000000005</v>
      </c>
      <c r="H203" s="232">
        <v>72131</v>
      </c>
      <c r="I203" s="239"/>
      <c r="J203" s="211"/>
      <c r="K203" s="215"/>
      <c r="L203" s="125"/>
    </row>
    <row r="204" spans="1:12" s="124" customFormat="1" x14ac:dyDescent="0.2">
      <c r="A204" s="111" t="s">
        <v>464</v>
      </c>
      <c r="B204" s="112" t="s">
        <v>521</v>
      </c>
      <c r="C204" s="111" t="s">
        <v>3</v>
      </c>
      <c r="D204" s="115">
        <v>7.28</v>
      </c>
      <c r="E204" s="161">
        <v>3.51</v>
      </c>
      <c r="F204" s="138">
        <f t="shared" si="44"/>
        <v>4.28</v>
      </c>
      <c r="G204" s="110">
        <f t="shared" si="45"/>
        <v>31.16</v>
      </c>
      <c r="H204" s="314">
        <v>87878</v>
      </c>
      <c r="I204" s="239"/>
      <c r="J204" s="211"/>
      <c r="K204" s="215"/>
      <c r="L204" s="125"/>
    </row>
    <row r="205" spans="1:12" s="124" customFormat="1" x14ac:dyDescent="0.2">
      <c r="A205" s="111" t="s">
        <v>465</v>
      </c>
      <c r="B205" s="112" t="s">
        <v>522</v>
      </c>
      <c r="C205" s="111" t="s">
        <v>3</v>
      </c>
      <c r="D205" s="115">
        <v>7.28</v>
      </c>
      <c r="E205" s="161">
        <v>44.42</v>
      </c>
      <c r="F205" s="138">
        <f t="shared" si="44"/>
        <v>54.19</v>
      </c>
      <c r="G205" s="110">
        <f t="shared" si="45"/>
        <v>394.5</v>
      </c>
      <c r="H205" s="314">
        <v>87777</v>
      </c>
      <c r="I205" s="239"/>
      <c r="J205" s="211"/>
      <c r="K205" s="215"/>
      <c r="L205" s="125"/>
    </row>
    <row r="206" spans="1:12" s="124" customFormat="1" x14ac:dyDescent="0.2">
      <c r="A206" s="111" t="s">
        <v>466</v>
      </c>
      <c r="B206" s="112" t="s">
        <v>474</v>
      </c>
      <c r="C206" s="111" t="s">
        <v>3</v>
      </c>
      <c r="D206" s="115">
        <v>0.80689999999999995</v>
      </c>
      <c r="E206" s="161">
        <v>75.98</v>
      </c>
      <c r="F206" s="138">
        <f t="shared" si="44"/>
        <v>92.7</v>
      </c>
      <c r="G206" s="110">
        <f t="shared" si="45"/>
        <v>74.8</v>
      </c>
      <c r="H206" s="232" t="s">
        <v>455</v>
      </c>
      <c r="I206" s="239"/>
      <c r="J206" s="211"/>
      <c r="K206" s="215"/>
      <c r="L206" s="125"/>
    </row>
    <row r="207" spans="1:12" s="124" customFormat="1" x14ac:dyDescent="0.2">
      <c r="A207" s="111" t="s">
        <v>467</v>
      </c>
      <c r="B207" s="112" t="s">
        <v>514</v>
      </c>
      <c r="C207" s="111" t="s">
        <v>3</v>
      </c>
      <c r="D207" s="115">
        <v>0.72</v>
      </c>
      <c r="E207" s="161">
        <v>41.14</v>
      </c>
      <c r="F207" s="138">
        <f t="shared" si="44"/>
        <v>50.19</v>
      </c>
      <c r="G207" s="110">
        <f t="shared" si="45"/>
        <v>36.14</v>
      </c>
      <c r="H207" s="232">
        <v>6225</v>
      </c>
      <c r="I207" s="239"/>
      <c r="J207" s="211"/>
      <c r="K207" s="215"/>
      <c r="L207" s="125"/>
    </row>
    <row r="208" spans="1:12" s="124" customFormat="1" x14ac:dyDescent="0.2">
      <c r="A208" s="111" t="s">
        <v>468</v>
      </c>
      <c r="B208" s="112" t="s">
        <v>456</v>
      </c>
      <c r="C208" s="111" t="s">
        <v>3</v>
      </c>
      <c r="D208" s="115">
        <v>6.95</v>
      </c>
      <c r="E208" s="161">
        <v>10.84</v>
      </c>
      <c r="F208" s="138">
        <f t="shared" si="44"/>
        <v>13.22</v>
      </c>
      <c r="G208" s="110">
        <f t="shared" si="45"/>
        <v>91.88</v>
      </c>
      <c r="H208" s="232">
        <v>88489</v>
      </c>
      <c r="I208" s="239"/>
      <c r="J208" s="211"/>
      <c r="K208" s="215"/>
      <c r="L208" s="125"/>
    </row>
    <row r="209" spans="1:13" s="124" customFormat="1" x14ac:dyDescent="0.2">
      <c r="A209" s="111" t="s">
        <v>469</v>
      </c>
      <c r="B209" s="112" t="s">
        <v>475</v>
      </c>
      <c r="C209" s="111" t="s">
        <v>3</v>
      </c>
      <c r="D209" s="115">
        <v>1.1000000000000001</v>
      </c>
      <c r="E209" s="161">
        <v>754.97</v>
      </c>
      <c r="F209" s="138">
        <f t="shared" si="44"/>
        <v>921.06</v>
      </c>
      <c r="G209" s="110">
        <f t="shared" si="45"/>
        <v>1013.17</v>
      </c>
      <c r="H209" s="232">
        <v>91341</v>
      </c>
      <c r="I209" s="239"/>
      <c r="J209" s="211"/>
      <c r="K209" s="215"/>
      <c r="L209" s="125"/>
    </row>
    <row r="210" spans="1:13" s="124" customFormat="1" x14ac:dyDescent="0.2">
      <c r="A210" s="127" t="s">
        <v>523</v>
      </c>
      <c r="B210" s="112" t="s">
        <v>286</v>
      </c>
      <c r="C210" s="111" t="s">
        <v>42</v>
      </c>
      <c r="D210" s="115">
        <v>1</v>
      </c>
      <c r="E210" s="161">
        <v>4.75</v>
      </c>
      <c r="F210" s="138">
        <f>ROUND(E210*$G$2,2)</f>
        <v>5.8</v>
      </c>
      <c r="G210" s="110">
        <f>ROUND(F210*D210,2)</f>
        <v>5.8</v>
      </c>
      <c r="H210" s="232">
        <v>20260</v>
      </c>
      <c r="I210" s="239"/>
      <c r="J210" s="211"/>
      <c r="K210" s="215"/>
      <c r="L210" s="125"/>
    </row>
    <row r="211" spans="1:13" s="124" customFormat="1" x14ac:dyDescent="0.2">
      <c r="A211" s="111" t="s">
        <v>524</v>
      </c>
      <c r="B211" s="112" t="s">
        <v>287</v>
      </c>
      <c r="C211" s="111" t="s">
        <v>42</v>
      </c>
      <c r="D211" s="115">
        <v>2</v>
      </c>
      <c r="E211" s="161">
        <v>25.9</v>
      </c>
      <c r="F211" s="138">
        <f t="shared" ref="F211" si="46">ROUND(E211*$G$2,2)</f>
        <v>31.6</v>
      </c>
      <c r="G211" s="110">
        <f t="shared" ref="G211" si="47">ROUND(F211*D211,2)</f>
        <v>63.2</v>
      </c>
      <c r="H211" s="232">
        <v>11756</v>
      </c>
      <c r="I211" s="239"/>
      <c r="J211" s="211"/>
      <c r="K211" s="215"/>
      <c r="L211" s="125"/>
    </row>
    <row r="212" spans="1:13" s="124" customFormat="1" x14ac:dyDescent="0.2">
      <c r="A212" s="111" t="s">
        <v>525</v>
      </c>
      <c r="B212" s="112" t="s">
        <v>457</v>
      </c>
      <c r="C212" s="111" t="s">
        <v>453</v>
      </c>
      <c r="D212" s="115">
        <v>26</v>
      </c>
      <c r="E212" s="161">
        <v>5.29</v>
      </c>
      <c r="F212" s="138">
        <f t="shared" si="44"/>
        <v>6.45</v>
      </c>
      <c r="G212" s="110">
        <f t="shared" si="45"/>
        <v>167.7</v>
      </c>
      <c r="H212" s="232">
        <v>4226</v>
      </c>
      <c r="I212" s="239"/>
      <c r="J212" s="211"/>
      <c r="K212" s="215"/>
      <c r="L212" s="125"/>
    </row>
    <row r="213" spans="1:13" s="124" customFormat="1" x14ac:dyDescent="0.2">
      <c r="A213" s="111" t="s">
        <v>529</v>
      </c>
      <c r="B213" s="112" t="s">
        <v>526</v>
      </c>
      <c r="C213" s="111" t="s">
        <v>42</v>
      </c>
      <c r="D213" s="115">
        <v>1</v>
      </c>
      <c r="E213" s="161">
        <v>1150</v>
      </c>
      <c r="F213" s="138">
        <f t="shared" si="44"/>
        <v>1403</v>
      </c>
      <c r="G213" s="110">
        <f t="shared" si="45"/>
        <v>1403</v>
      </c>
      <c r="H213" s="321" t="s">
        <v>527</v>
      </c>
      <c r="I213" s="315" t="s">
        <v>528</v>
      </c>
      <c r="J213" s="211"/>
      <c r="K213" s="215"/>
      <c r="L213" s="125"/>
    </row>
    <row r="214" spans="1:13" s="124" customFormat="1" x14ac:dyDescent="0.2">
      <c r="A214" s="174"/>
      <c r="B214" s="114" t="s">
        <v>36</v>
      </c>
      <c r="C214" s="174"/>
      <c r="D214" s="175"/>
      <c r="E214" s="161"/>
      <c r="F214" s="138"/>
      <c r="G214" s="121">
        <f>SUM(G196:G213)</f>
        <v>4185</v>
      </c>
      <c r="H214" s="236"/>
      <c r="I214" s="239"/>
      <c r="J214" s="211">
        <f t="shared" si="19"/>
        <v>0</v>
      </c>
      <c r="K214" s="215"/>
      <c r="L214" s="125"/>
    </row>
    <row r="215" spans="1:13" s="124" customFormat="1" x14ac:dyDescent="0.2">
      <c r="A215" s="218">
        <v>18</v>
      </c>
      <c r="B215" s="219" t="s">
        <v>161</v>
      </c>
      <c r="C215" s="220"/>
      <c r="D215" s="222"/>
      <c r="E215" s="221"/>
      <c r="F215" s="222"/>
      <c r="G215" s="222"/>
      <c r="H215" s="236"/>
      <c r="I215" s="239"/>
      <c r="J215" s="211">
        <f t="shared" si="19"/>
        <v>0</v>
      </c>
      <c r="K215" s="215"/>
      <c r="L215" s="125"/>
    </row>
    <row r="216" spans="1:13" s="122" customFormat="1" x14ac:dyDescent="0.2">
      <c r="A216" s="303" t="s">
        <v>314</v>
      </c>
      <c r="B216" s="154" t="s">
        <v>235</v>
      </c>
      <c r="C216" s="148" t="s">
        <v>3</v>
      </c>
      <c r="D216" s="115">
        <v>160.63</v>
      </c>
      <c r="E216" s="161">
        <v>2.41</v>
      </c>
      <c r="F216" s="115">
        <f t="shared" ref="F216" si="48">ROUND(E216*$G$2,2)</f>
        <v>2.94</v>
      </c>
      <c r="G216" s="115">
        <f t="shared" ref="G216" si="49">ROUND(F216*D216,2)</f>
        <v>472.25</v>
      </c>
      <c r="H216" s="234">
        <v>9537</v>
      </c>
      <c r="I216" s="237"/>
      <c r="J216" s="304">
        <f t="shared" si="19"/>
        <v>-2.0846500000000003</v>
      </c>
      <c r="K216" s="214"/>
      <c r="L216" s="305"/>
    </row>
    <row r="217" spans="1:13" s="124" customFormat="1" x14ac:dyDescent="0.2">
      <c r="A217" s="120"/>
      <c r="B217" s="114" t="s">
        <v>36</v>
      </c>
      <c r="C217" s="120"/>
      <c r="D217" s="126"/>
      <c r="E217" s="137"/>
      <c r="F217" s="137"/>
      <c r="G217" s="121">
        <f>SUM(G216)</f>
        <v>472.25</v>
      </c>
      <c r="H217" s="236"/>
      <c r="I217" s="239"/>
      <c r="J217" s="211">
        <f t="shared" si="19"/>
        <v>0</v>
      </c>
      <c r="K217" s="215"/>
      <c r="L217" s="125"/>
    </row>
    <row r="218" spans="1:13" s="80" customFormat="1" ht="12" customHeight="1" x14ac:dyDescent="0.2">
      <c r="A218" s="229"/>
      <c r="B218" s="229" t="s">
        <v>37</v>
      </c>
      <c r="C218" s="229"/>
      <c r="D218" s="229"/>
      <c r="E218" s="229"/>
      <c r="F218" s="229"/>
      <c r="G218" s="230">
        <f>G217+G214+G194+G173+G160+G149+G142+G105+G100+G96+G87+G70+G61+G58+G41+G32+G20+G16</f>
        <v>177805.44</v>
      </c>
      <c r="H218" s="201"/>
      <c r="I218" s="233"/>
      <c r="J218" s="211"/>
      <c r="K218" s="209"/>
      <c r="L218" s="92"/>
    </row>
    <row r="219" spans="1:13" s="94" customFormat="1" x14ac:dyDescent="0.2">
      <c r="A219" s="77"/>
      <c r="B219" s="76"/>
      <c r="C219" s="77"/>
      <c r="D219" s="78"/>
      <c r="E219" s="130"/>
      <c r="F219" s="130"/>
      <c r="G219" s="95"/>
      <c r="H219" s="201"/>
      <c r="I219" s="233"/>
      <c r="J219" s="211"/>
      <c r="K219" s="212"/>
      <c r="L219" s="92"/>
    </row>
    <row r="220" spans="1:13" s="94" customFormat="1" ht="13.5" hidden="1" thickBot="1" x14ac:dyDescent="0.25">
      <c r="A220" s="332" t="s">
        <v>174</v>
      </c>
      <c r="B220" s="333"/>
      <c r="C220" s="333"/>
      <c r="D220" s="333"/>
      <c r="E220" s="333"/>
      <c r="F220" s="333"/>
      <c r="G220" s="334"/>
      <c r="H220" s="201"/>
      <c r="I220" s="233"/>
      <c r="J220" s="211"/>
      <c r="K220" s="212"/>
      <c r="L220" s="92"/>
    </row>
    <row r="221" spans="1:13" s="94" customFormat="1" hidden="1" x14ac:dyDescent="0.2">
      <c r="A221" s="180" t="s">
        <v>32</v>
      </c>
      <c r="B221" s="181" t="s">
        <v>152</v>
      </c>
      <c r="C221" s="180" t="s">
        <v>3</v>
      </c>
      <c r="D221" s="182">
        <v>16.03</v>
      </c>
      <c r="E221" s="118">
        <v>544.82000000000005</v>
      </c>
      <c r="F221" s="183">
        <f t="shared" ref="F221:F222" si="50">ROUND(E221*$G$2,2)</f>
        <v>664.68</v>
      </c>
      <c r="G221" s="184">
        <f t="shared" ref="G221:G222" si="51">ROUND(F221*D221,2)</f>
        <v>10654.82</v>
      </c>
      <c r="H221" s="253" t="s">
        <v>164</v>
      </c>
      <c r="I221" s="254">
        <v>-0.1</v>
      </c>
      <c r="J221" s="211"/>
      <c r="K221" s="212"/>
      <c r="L221" s="92"/>
    </row>
    <row r="222" spans="1:13" s="94" customFormat="1" ht="22.5" hidden="1" x14ac:dyDescent="0.2">
      <c r="A222" s="180" t="s">
        <v>1</v>
      </c>
      <c r="B222" s="147" t="s">
        <v>163</v>
      </c>
      <c r="C222" s="148" t="s">
        <v>3</v>
      </c>
      <c r="D222" s="115">
        <v>3.75</v>
      </c>
      <c r="E222" s="161">
        <v>415</v>
      </c>
      <c r="F222" s="138">
        <f t="shared" si="50"/>
        <v>506.3</v>
      </c>
      <c r="G222" s="110">
        <f t="shared" si="51"/>
        <v>1898.63</v>
      </c>
      <c r="H222" s="253" t="s">
        <v>164</v>
      </c>
      <c r="I222" s="254">
        <v>-0.1</v>
      </c>
      <c r="J222" s="211"/>
      <c r="K222" s="212"/>
      <c r="L222" s="92"/>
    </row>
    <row r="223" spans="1:13" s="143" customFormat="1" hidden="1" x14ac:dyDescent="0.2">
      <c r="A223" s="180" t="s">
        <v>2</v>
      </c>
      <c r="B223" s="144" t="s">
        <v>79</v>
      </c>
      <c r="C223" s="116" t="s">
        <v>7</v>
      </c>
      <c r="D223" s="115">
        <v>2</v>
      </c>
      <c r="E223" s="136">
        <v>313.23</v>
      </c>
      <c r="F223" s="138">
        <f>ROUND(E223*$G$2,2)</f>
        <v>382.14</v>
      </c>
      <c r="G223" s="110">
        <f>ROUND(F223*D223,2)</f>
        <v>764.28</v>
      </c>
      <c r="H223" s="253" t="s">
        <v>78</v>
      </c>
      <c r="I223" s="255" t="s">
        <v>58</v>
      </c>
      <c r="J223" s="145"/>
      <c r="K223" s="211"/>
      <c r="L223" s="146"/>
      <c r="M223" s="95"/>
    </row>
    <row r="224" spans="1:13" s="150" customFormat="1" ht="12" hidden="1" customHeight="1" x14ac:dyDescent="0.2">
      <c r="A224" s="180" t="s">
        <v>99</v>
      </c>
      <c r="B224" s="147" t="s">
        <v>80</v>
      </c>
      <c r="C224" s="116" t="s">
        <v>7</v>
      </c>
      <c r="D224" s="115">
        <v>1</v>
      </c>
      <c r="E224" s="136">
        <v>440.29</v>
      </c>
      <c r="F224" s="138">
        <f t="shared" ref="F224:F225" si="52">ROUND(E224*$G$2,2)</f>
        <v>537.15</v>
      </c>
      <c r="G224" s="110">
        <f t="shared" ref="G224:G225" si="53">ROUND(F224*D224,2)</f>
        <v>537.15</v>
      </c>
      <c r="H224" s="253" t="s">
        <v>77</v>
      </c>
      <c r="I224" s="255" t="s">
        <v>59</v>
      </c>
      <c r="J224" s="145"/>
      <c r="K224" s="211"/>
      <c r="L224" s="149"/>
      <c r="M224" s="92"/>
    </row>
    <row r="225" spans="1:13" s="150" customFormat="1" ht="12" hidden="1" customHeight="1" x14ac:dyDescent="0.2">
      <c r="A225" s="180" t="s">
        <v>104</v>
      </c>
      <c r="B225" s="147" t="s">
        <v>151</v>
      </c>
      <c r="C225" s="116" t="s">
        <v>7</v>
      </c>
      <c r="D225" s="115">
        <v>1</v>
      </c>
      <c r="E225" s="136">
        <v>4725</v>
      </c>
      <c r="F225" s="138">
        <f t="shared" si="52"/>
        <v>5764.5</v>
      </c>
      <c r="G225" s="110">
        <f t="shared" si="53"/>
        <v>5764.5</v>
      </c>
      <c r="H225" s="253" t="s">
        <v>173</v>
      </c>
      <c r="I225" s="254">
        <v>-0.1</v>
      </c>
      <c r="J225" s="145"/>
      <c r="K225" s="211"/>
      <c r="L225" s="149"/>
      <c r="M225" s="92"/>
    </row>
    <row r="226" spans="1:13" hidden="1" x14ac:dyDescent="0.2">
      <c r="A226" s="180" t="s">
        <v>114</v>
      </c>
      <c r="B226" s="112" t="s">
        <v>166</v>
      </c>
      <c r="C226" s="111" t="s">
        <v>7</v>
      </c>
      <c r="D226" s="115">
        <v>5</v>
      </c>
      <c r="E226" s="136">
        <v>1289.46</v>
      </c>
      <c r="F226" s="138">
        <f>ROUND(E226*$G$2,2)</f>
        <v>1573.14</v>
      </c>
      <c r="G226" s="110">
        <f>ROUND(F226*D226,2)</f>
        <v>7865.7</v>
      </c>
      <c r="H226" s="256" t="s">
        <v>165</v>
      </c>
      <c r="I226" s="254">
        <v>-0.1</v>
      </c>
      <c r="J226" s="211"/>
      <c r="K226" s="209"/>
      <c r="L226" s="92"/>
    </row>
    <row r="227" spans="1:13" hidden="1" x14ac:dyDescent="0.2">
      <c r="A227" s="180" t="s">
        <v>193</v>
      </c>
      <c r="B227" s="112" t="s">
        <v>109</v>
      </c>
      <c r="C227" s="111" t="s">
        <v>7</v>
      </c>
      <c r="D227" s="115">
        <v>3</v>
      </c>
      <c r="E227" s="136">
        <v>101.48</v>
      </c>
      <c r="F227" s="138">
        <f>ROUND(E227*$G$2,2)</f>
        <v>123.81</v>
      </c>
      <c r="G227" s="110">
        <f>ROUND(F227*D227,2)</f>
        <v>371.43</v>
      </c>
      <c r="H227" s="256" t="s">
        <v>110</v>
      </c>
      <c r="I227" s="254">
        <v>-0.1</v>
      </c>
      <c r="J227" s="211"/>
      <c r="K227" s="209"/>
      <c r="L227" s="92"/>
    </row>
    <row r="228" spans="1:13" ht="12.75" hidden="1" customHeight="1" x14ac:dyDescent="0.2">
      <c r="A228" s="180" t="s">
        <v>194</v>
      </c>
      <c r="B228" s="112" t="s">
        <v>167</v>
      </c>
      <c r="C228" s="111" t="s">
        <v>7</v>
      </c>
      <c r="D228" s="115">
        <v>2</v>
      </c>
      <c r="E228" s="136">
        <v>703.45</v>
      </c>
      <c r="F228" s="138">
        <f t="shared" ref="F228:F235" si="54">ROUND(E228*$G$2,2)</f>
        <v>858.21</v>
      </c>
      <c r="G228" s="110">
        <f t="shared" ref="G228:G235" si="55">ROUND(F228*D228,2)</f>
        <v>1716.42</v>
      </c>
      <c r="H228" s="256" t="s">
        <v>108</v>
      </c>
      <c r="I228" s="254">
        <v>-0.1</v>
      </c>
      <c r="J228" s="211"/>
      <c r="K228" s="209"/>
      <c r="L228" s="95"/>
    </row>
    <row r="229" spans="1:13" hidden="1" x14ac:dyDescent="0.2">
      <c r="A229" s="180" t="s">
        <v>195</v>
      </c>
      <c r="B229" s="112" t="s">
        <v>71</v>
      </c>
      <c r="C229" s="111" t="s">
        <v>7</v>
      </c>
      <c r="D229" s="115">
        <v>1</v>
      </c>
      <c r="E229" s="161">
        <v>1584</v>
      </c>
      <c r="F229" s="138">
        <f t="shared" si="54"/>
        <v>1932.48</v>
      </c>
      <c r="G229" s="110">
        <f t="shared" si="55"/>
        <v>1932.48</v>
      </c>
      <c r="H229" s="256" t="s">
        <v>145</v>
      </c>
      <c r="I229" s="254">
        <v>-0.1</v>
      </c>
      <c r="J229" s="211"/>
      <c r="K229" s="209"/>
      <c r="L229" s="92"/>
    </row>
    <row r="230" spans="1:13" hidden="1" x14ac:dyDescent="0.2">
      <c r="A230" s="180" t="s">
        <v>196</v>
      </c>
      <c r="B230" s="112" t="s">
        <v>169</v>
      </c>
      <c r="C230" s="111" t="s">
        <v>7</v>
      </c>
      <c r="D230" s="115">
        <v>1</v>
      </c>
      <c r="E230" s="136">
        <v>770.72</v>
      </c>
      <c r="F230" s="138">
        <f t="shared" si="54"/>
        <v>940.28</v>
      </c>
      <c r="G230" s="110">
        <f t="shared" si="55"/>
        <v>940.28</v>
      </c>
      <c r="H230" s="256" t="s">
        <v>108</v>
      </c>
      <c r="I230" s="254">
        <v>-0.1</v>
      </c>
      <c r="J230" s="211"/>
      <c r="K230" s="209"/>
      <c r="L230" s="92"/>
    </row>
    <row r="231" spans="1:13" hidden="1" x14ac:dyDescent="0.2">
      <c r="A231" s="180" t="s">
        <v>197</v>
      </c>
      <c r="B231" s="154" t="s">
        <v>168</v>
      </c>
      <c r="C231" s="111" t="s">
        <v>7</v>
      </c>
      <c r="D231" s="115">
        <v>1</v>
      </c>
      <c r="E231" s="136">
        <v>642.26</v>
      </c>
      <c r="F231" s="138">
        <f t="shared" si="54"/>
        <v>783.56</v>
      </c>
      <c r="G231" s="110">
        <f t="shared" si="55"/>
        <v>783.56</v>
      </c>
      <c r="H231" s="256" t="s">
        <v>108</v>
      </c>
      <c r="I231" s="254">
        <v>-0.1</v>
      </c>
      <c r="J231" s="211"/>
      <c r="K231" s="209"/>
      <c r="L231" s="92"/>
    </row>
    <row r="232" spans="1:13" s="94" customFormat="1" hidden="1" x14ac:dyDescent="0.2">
      <c r="A232" s="180" t="s">
        <v>198</v>
      </c>
      <c r="B232" s="154" t="s">
        <v>94</v>
      </c>
      <c r="C232" s="111" t="s">
        <v>42</v>
      </c>
      <c r="D232" s="115">
        <v>12</v>
      </c>
      <c r="E232" s="136">
        <v>64.489999999999995</v>
      </c>
      <c r="F232" s="138">
        <f t="shared" si="54"/>
        <v>78.680000000000007</v>
      </c>
      <c r="G232" s="110">
        <f t="shared" si="55"/>
        <v>944.16</v>
      </c>
      <c r="H232" s="201"/>
      <c r="I232" s="233"/>
      <c r="J232" s="211"/>
      <c r="K232" s="212"/>
      <c r="L232" s="92"/>
    </row>
    <row r="233" spans="1:13" s="94" customFormat="1" hidden="1" x14ac:dyDescent="0.2">
      <c r="A233" s="180" t="s">
        <v>199</v>
      </c>
      <c r="B233" s="113" t="s">
        <v>35</v>
      </c>
      <c r="C233" s="111" t="s">
        <v>7</v>
      </c>
      <c r="D233" s="115">
        <v>2</v>
      </c>
      <c r="E233" s="136">
        <v>88.38</v>
      </c>
      <c r="F233" s="138">
        <f t="shared" si="54"/>
        <v>107.82</v>
      </c>
      <c r="G233" s="110">
        <f t="shared" si="55"/>
        <v>215.64</v>
      </c>
      <c r="H233" s="257" t="s">
        <v>127</v>
      </c>
      <c r="I233" s="233"/>
      <c r="J233" s="211"/>
      <c r="K233" s="212"/>
      <c r="L233" s="92"/>
    </row>
    <row r="234" spans="1:13" s="94" customFormat="1" hidden="1" x14ac:dyDescent="0.2">
      <c r="A234" s="180" t="s">
        <v>200</v>
      </c>
      <c r="B234" s="113" t="s">
        <v>149</v>
      </c>
      <c r="C234" s="111" t="s">
        <v>7</v>
      </c>
      <c r="D234" s="115">
        <v>2</v>
      </c>
      <c r="E234" s="136">
        <v>48.99</v>
      </c>
      <c r="F234" s="138">
        <f t="shared" si="54"/>
        <v>59.77</v>
      </c>
      <c r="G234" s="110">
        <f t="shared" si="55"/>
        <v>119.54</v>
      </c>
      <c r="H234" s="256" t="s">
        <v>148</v>
      </c>
      <c r="I234" s="233"/>
      <c r="J234" s="211"/>
      <c r="K234" s="212"/>
      <c r="L234" s="92"/>
    </row>
    <row r="235" spans="1:13" s="94" customFormat="1" hidden="1" x14ac:dyDescent="0.2">
      <c r="A235" s="180" t="s">
        <v>201</v>
      </c>
      <c r="B235" s="112" t="s">
        <v>129</v>
      </c>
      <c r="C235" s="111" t="s">
        <v>7</v>
      </c>
      <c r="D235" s="115">
        <v>1</v>
      </c>
      <c r="E235" s="136">
        <v>60.47</v>
      </c>
      <c r="F235" s="138">
        <f t="shared" si="54"/>
        <v>73.77</v>
      </c>
      <c r="G235" s="110">
        <f t="shared" si="55"/>
        <v>73.77</v>
      </c>
      <c r="H235" s="256" t="s">
        <v>128</v>
      </c>
      <c r="I235" s="233"/>
      <c r="J235" s="211"/>
      <c r="K235" s="212"/>
      <c r="L235" s="92"/>
    </row>
    <row r="236" spans="1:13" s="94" customFormat="1" hidden="1" x14ac:dyDescent="0.2">
      <c r="A236" s="189"/>
      <c r="B236" s="114" t="s">
        <v>175</v>
      </c>
      <c r="C236" s="189"/>
      <c r="D236" s="190"/>
      <c r="E236" s="191"/>
      <c r="F236" s="192"/>
      <c r="G236" s="193">
        <f>SUM(G221:G235)</f>
        <v>34582.36</v>
      </c>
      <c r="H236" s="258"/>
      <c r="I236" s="233"/>
      <c r="J236" s="211"/>
      <c r="K236" s="212"/>
      <c r="L236" s="92"/>
    </row>
    <row r="237" spans="1:13" s="94" customFormat="1" x14ac:dyDescent="0.2">
      <c r="A237" s="106"/>
      <c r="B237" s="108"/>
      <c r="C237" s="106"/>
      <c r="D237" s="96"/>
      <c r="E237" s="139"/>
      <c r="F237" s="171"/>
      <c r="G237" s="95"/>
      <c r="H237" s="259"/>
      <c r="I237" s="233"/>
      <c r="J237" s="211"/>
      <c r="K237" s="212"/>
      <c r="L237" s="92"/>
    </row>
    <row r="238" spans="1:13" s="94" customFormat="1" ht="13.5" thickBot="1" x14ac:dyDescent="0.25">
      <c r="A238" s="106"/>
      <c r="B238" s="108"/>
      <c r="C238" s="106"/>
      <c r="D238" s="96"/>
      <c r="E238" s="139"/>
      <c r="F238" s="171"/>
      <c r="G238" s="95"/>
      <c r="H238" s="259"/>
      <c r="I238" s="233"/>
      <c r="J238" s="211"/>
      <c r="K238" s="212"/>
      <c r="L238" s="92"/>
    </row>
    <row r="239" spans="1:13" s="94" customFormat="1" ht="16.5" thickBot="1" x14ac:dyDescent="0.3">
      <c r="A239" s="106"/>
      <c r="B239" s="217" t="s">
        <v>136</v>
      </c>
      <c r="C239" s="216"/>
      <c r="D239" s="96"/>
      <c r="E239" s="139"/>
      <c r="F239" s="171"/>
      <c r="G239" s="95"/>
      <c r="H239" s="259"/>
      <c r="I239" s="233"/>
      <c r="J239" s="211"/>
      <c r="K239" s="212"/>
      <c r="L239" s="92"/>
    </row>
    <row r="240" spans="1:13" s="80" customFormat="1" ht="12.75" customHeight="1" x14ac:dyDescent="0.2">
      <c r="A240" s="77"/>
      <c r="B240" s="196"/>
      <c r="C240" s="196"/>
      <c r="D240" s="196"/>
      <c r="E240" s="196"/>
      <c r="F240" s="196"/>
      <c r="G240" s="196"/>
      <c r="H240" s="260"/>
      <c r="I240" s="233"/>
      <c r="J240" s="211"/>
      <c r="K240" s="209"/>
      <c r="L240" s="81"/>
    </row>
    <row r="241" spans="1:12" s="94" customFormat="1" x14ac:dyDescent="0.2">
      <c r="A241" s="319" t="s">
        <v>211</v>
      </c>
      <c r="B241" s="199" t="s">
        <v>207</v>
      </c>
      <c r="C241" s="158"/>
      <c r="D241" s="99"/>
      <c r="E241" s="130"/>
      <c r="F241" s="130"/>
      <c r="G241" s="95"/>
      <c r="H241" s="201"/>
      <c r="I241" s="233"/>
      <c r="J241" s="91"/>
      <c r="K241" s="81"/>
      <c r="L241" s="92"/>
    </row>
    <row r="242" spans="1:12" s="94" customFormat="1" x14ac:dyDescent="0.2">
      <c r="A242" s="77"/>
      <c r="B242" s="199" t="s">
        <v>531</v>
      </c>
      <c r="C242" s="168"/>
      <c r="D242" s="95"/>
      <c r="F242" s="131"/>
      <c r="G242" s="95"/>
      <c r="H242" s="201"/>
      <c r="I242" s="233"/>
      <c r="J242" s="91"/>
      <c r="L242" s="92"/>
    </row>
    <row r="243" spans="1:12" s="94" customFormat="1" x14ac:dyDescent="0.2">
      <c r="A243" s="77"/>
      <c r="B243" s="289" t="s">
        <v>534</v>
      </c>
      <c r="C243" s="168"/>
      <c r="D243" s="159"/>
      <c r="F243" s="131"/>
      <c r="G243" s="95"/>
      <c r="H243" s="201"/>
      <c r="I243" s="233"/>
      <c r="J243" s="91"/>
      <c r="L243" s="92"/>
    </row>
    <row r="244" spans="1:12" s="94" customFormat="1" x14ac:dyDescent="0.2">
      <c r="A244" s="77"/>
      <c r="B244" s="199" t="s">
        <v>532</v>
      </c>
      <c r="C244" s="169"/>
      <c r="D244" s="95"/>
      <c r="E244" s="131"/>
      <c r="F244" s="131"/>
      <c r="G244" s="95"/>
      <c r="H244" s="201"/>
      <c r="I244" s="233"/>
      <c r="J244" s="91"/>
      <c r="L244" s="92"/>
    </row>
    <row r="245" spans="1:12" s="94" customFormat="1" x14ac:dyDescent="0.2">
      <c r="A245" s="77"/>
      <c r="B245" s="199" t="s">
        <v>205</v>
      </c>
      <c r="C245" s="169"/>
      <c r="D245" s="95"/>
      <c r="E245" s="131"/>
      <c r="F245" s="131"/>
      <c r="G245" s="95"/>
      <c r="H245" s="201"/>
      <c r="I245" s="233"/>
      <c r="J245" s="91"/>
      <c r="L245" s="92"/>
    </row>
    <row r="246" spans="1:12" s="80" customFormat="1" x14ac:dyDescent="0.2">
      <c r="A246" s="77"/>
      <c r="B246" s="201" t="s">
        <v>206</v>
      </c>
      <c r="C246" s="106"/>
      <c r="D246" s="171"/>
      <c r="E246" s="170"/>
      <c r="F246" s="171"/>
      <c r="G246" s="95"/>
      <c r="H246" s="261"/>
      <c r="I246" s="252"/>
      <c r="J246" s="91"/>
      <c r="L246" s="81"/>
    </row>
    <row r="247" spans="1:12" s="80" customFormat="1" x14ac:dyDescent="0.2">
      <c r="A247" s="77"/>
      <c r="B247" s="201"/>
      <c r="C247" s="167"/>
      <c r="D247" s="81"/>
      <c r="E247" s="131"/>
      <c r="F247" s="131"/>
      <c r="G247" s="95"/>
      <c r="H247" s="199"/>
      <c r="I247" s="233"/>
      <c r="J247" s="91"/>
      <c r="L247" s="81"/>
    </row>
    <row r="248" spans="1:12" s="94" customFormat="1" x14ac:dyDescent="0.2">
      <c r="A248" s="77"/>
      <c r="B248" s="202" t="s">
        <v>208</v>
      </c>
      <c r="H248" s="201"/>
      <c r="I248" s="233"/>
      <c r="J248" s="91"/>
      <c r="L248" s="92"/>
    </row>
    <row r="249" spans="1:12" s="80" customFormat="1" x14ac:dyDescent="0.2">
      <c r="A249" s="77"/>
      <c r="B249" s="202" t="s">
        <v>445</v>
      </c>
      <c r="C249" s="164"/>
      <c r="D249" s="146"/>
      <c r="H249" s="199"/>
      <c r="I249" s="233"/>
      <c r="J249" s="91"/>
      <c r="L249" s="95"/>
    </row>
    <row r="250" spans="1:12" s="80" customFormat="1" x14ac:dyDescent="0.2">
      <c r="A250" s="77"/>
      <c r="B250" s="202" t="s">
        <v>208</v>
      </c>
      <c r="C250" s="106"/>
      <c r="D250" s="96"/>
      <c r="E250" s="139"/>
      <c r="F250" s="171"/>
      <c r="G250" s="95"/>
      <c r="H250" s="201"/>
      <c r="I250" s="233"/>
      <c r="J250" s="91"/>
      <c r="K250" s="94"/>
      <c r="L250" s="92"/>
    </row>
    <row r="251" spans="1:12" s="80" customFormat="1" ht="13.5" customHeight="1" x14ac:dyDescent="0.2">
      <c r="A251" s="77"/>
      <c r="B251" s="202" t="s">
        <v>445</v>
      </c>
      <c r="C251" s="106"/>
      <c r="D251" s="96"/>
      <c r="E251" s="139"/>
      <c r="F251" s="171"/>
      <c r="G251" s="95"/>
      <c r="H251" s="199"/>
      <c r="I251" s="233"/>
      <c r="J251" s="91"/>
      <c r="L251" s="81"/>
    </row>
    <row r="252" spans="1:12" s="80" customFormat="1" x14ac:dyDescent="0.2">
      <c r="A252" s="77"/>
      <c r="B252" s="202" t="s">
        <v>533</v>
      </c>
      <c r="C252" s="106"/>
      <c r="D252" s="96"/>
      <c r="E252" s="139"/>
      <c r="F252" s="171"/>
      <c r="G252" s="95"/>
      <c r="H252" s="199"/>
      <c r="I252" s="233"/>
      <c r="J252" s="91"/>
      <c r="L252" s="92"/>
    </row>
    <row r="253" spans="1:12" s="80" customFormat="1" x14ac:dyDescent="0.2">
      <c r="A253" s="77"/>
      <c r="B253" s="318" t="s">
        <v>535</v>
      </c>
      <c r="C253" s="165"/>
      <c r="D253" s="81"/>
      <c r="E253" s="163"/>
      <c r="F253" s="131"/>
      <c r="G253" s="95"/>
      <c r="H253" s="199"/>
      <c r="I253" s="233"/>
      <c r="J253" s="91"/>
      <c r="L253" s="95"/>
    </row>
    <row r="254" spans="1:12" s="94" customFormat="1" ht="15" customHeight="1" x14ac:dyDescent="0.2">
      <c r="A254" s="77"/>
      <c r="B254" s="202" t="s">
        <v>536</v>
      </c>
      <c r="C254" s="162"/>
      <c r="D254" s="81"/>
      <c r="E254" s="131"/>
      <c r="F254" s="131"/>
      <c r="G254" s="95"/>
      <c r="H254" s="201"/>
      <c r="I254" s="233"/>
      <c r="J254" s="91"/>
      <c r="L254" s="92"/>
    </row>
    <row r="255" spans="1:12" s="94" customFormat="1" ht="15" customHeight="1" x14ac:dyDescent="0.2">
      <c r="A255" s="77"/>
      <c r="B255" s="202"/>
      <c r="C255" s="162"/>
      <c r="D255" s="81"/>
      <c r="E255" s="131"/>
      <c r="F255" s="131"/>
      <c r="G255" s="95"/>
      <c r="H255" s="201"/>
      <c r="I255" s="233"/>
      <c r="J255" s="91"/>
      <c r="L255" s="92"/>
    </row>
    <row r="256" spans="1:12" s="94" customFormat="1" ht="15" customHeight="1" x14ac:dyDescent="0.2">
      <c r="A256" s="77"/>
      <c r="B256" s="202"/>
      <c r="C256" s="162"/>
      <c r="D256" s="81"/>
      <c r="E256" s="131"/>
      <c r="F256" s="131"/>
      <c r="G256" s="95"/>
      <c r="H256" s="201"/>
      <c r="I256" s="233"/>
      <c r="J256" s="91"/>
      <c r="L256" s="92"/>
    </row>
    <row r="257" spans="1:12" s="80" customFormat="1" ht="14.25" customHeight="1" x14ac:dyDescent="0.2">
      <c r="A257" s="319" t="s">
        <v>216</v>
      </c>
      <c r="B257" s="199" t="s">
        <v>446</v>
      </c>
      <c r="C257" s="309"/>
      <c r="D257" s="96"/>
      <c r="E257" s="139"/>
      <c r="F257" s="139"/>
      <c r="G257" s="95"/>
      <c r="H257" s="199"/>
      <c r="I257" s="233"/>
      <c r="J257" s="91"/>
      <c r="L257" s="92"/>
    </row>
    <row r="258" spans="1:12" s="80" customFormat="1" ht="14.25" customHeight="1" x14ac:dyDescent="0.2">
      <c r="A258" s="153"/>
      <c r="B258" s="199" t="s">
        <v>531</v>
      </c>
      <c r="C258" s="309"/>
      <c r="D258" s="96"/>
      <c r="E258" s="139"/>
      <c r="F258" s="139"/>
      <c r="G258" s="95"/>
      <c r="H258" s="199"/>
      <c r="I258" s="233"/>
      <c r="J258" s="91"/>
      <c r="L258" s="92"/>
    </row>
    <row r="259" spans="1:12" s="93" customFormat="1" ht="14.25" customHeight="1" x14ac:dyDescent="0.2">
      <c r="A259" s="153"/>
      <c r="B259" s="289" t="s">
        <v>534</v>
      </c>
      <c r="C259" s="309"/>
      <c r="D259" s="96"/>
      <c r="E259" s="139"/>
      <c r="F259" s="139"/>
      <c r="G259" s="95"/>
      <c r="H259" s="243"/>
      <c r="I259" s="233"/>
      <c r="J259" s="91"/>
      <c r="K259" s="94"/>
      <c r="L259" s="92"/>
    </row>
    <row r="260" spans="1:12" x14ac:dyDescent="0.2">
      <c r="A260" s="153"/>
      <c r="B260" s="199" t="s">
        <v>532</v>
      </c>
      <c r="C260" s="309"/>
      <c r="D260" s="96"/>
      <c r="E260" s="139"/>
      <c r="F260" s="139"/>
      <c r="G260" s="95"/>
      <c r="H260" s="231"/>
      <c r="I260" s="233"/>
      <c r="J260" s="91"/>
      <c r="K260" s="80"/>
      <c r="L260" s="81"/>
    </row>
    <row r="261" spans="1:12" x14ac:dyDescent="0.2">
      <c r="A261" s="153"/>
      <c r="B261" s="199" t="s">
        <v>205</v>
      </c>
      <c r="C261" s="309"/>
      <c r="D261" s="96"/>
      <c r="E261" s="139"/>
      <c r="F261" s="139"/>
      <c r="G261" s="95"/>
      <c r="H261" s="231"/>
      <c r="I261" s="233"/>
      <c r="J261" s="91"/>
      <c r="K261" s="80"/>
      <c r="L261" s="95"/>
    </row>
    <row r="262" spans="1:12" x14ac:dyDescent="0.2">
      <c r="A262" s="153"/>
      <c r="B262" s="201" t="s">
        <v>206</v>
      </c>
      <c r="C262" s="309"/>
      <c r="D262" s="96"/>
      <c r="E262" s="139"/>
      <c r="F262" s="139"/>
      <c r="G262" s="95"/>
      <c r="H262" s="231"/>
      <c r="I262" s="233"/>
      <c r="J262" s="91"/>
      <c r="K262" s="80"/>
      <c r="L262" s="95"/>
    </row>
    <row r="263" spans="1:12" s="93" customFormat="1" x14ac:dyDescent="0.2">
      <c r="A263" s="153"/>
      <c r="B263" s="201"/>
      <c r="C263" s="309"/>
      <c r="D263" s="96"/>
      <c r="E263" s="139"/>
      <c r="F263" s="139"/>
      <c r="G263" s="95"/>
      <c r="H263" s="243"/>
      <c r="I263" s="233"/>
      <c r="J263" s="91"/>
      <c r="K263" s="94"/>
      <c r="L263" s="92"/>
    </row>
    <row r="264" spans="1:12" ht="11.25" customHeight="1" x14ac:dyDescent="0.2">
      <c r="A264" s="153"/>
      <c r="B264" s="202" t="s">
        <v>447</v>
      </c>
      <c r="C264" s="309"/>
      <c r="D264" s="96"/>
      <c r="E264" s="139"/>
      <c r="F264" s="139"/>
      <c r="G264" s="95"/>
      <c r="H264" s="231"/>
      <c r="I264" s="233"/>
      <c r="J264" s="91"/>
      <c r="K264" s="80"/>
      <c r="L264" s="92"/>
    </row>
    <row r="265" spans="1:12" x14ac:dyDescent="0.2">
      <c r="A265" s="153"/>
      <c r="B265" s="202" t="s">
        <v>537</v>
      </c>
      <c r="C265" s="309"/>
      <c r="D265" s="96"/>
      <c r="E265" s="139"/>
      <c r="F265" s="139"/>
      <c r="G265" s="95"/>
      <c r="H265" s="231"/>
      <c r="I265" s="233"/>
      <c r="J265" s="91"/>
      <c r="K265" s="80"/>
      <c r="L265" s="92"/>
    </row>
    <row r="266" spans="1:12" ht="13.5" customHeight="1" x14ac:dyDescent="0.2">
      <c r="A266" s="153"/>
      <c r="B266" s="202" t="s">
        <v>447</v>
      </c>
      <c r="C266" s="309"/>
      <c r="D266" s="96"/>
      <c r="E266" s="139"/>
      <c r="F266" s="139"/>
      <c r="G266" s="95"/>
      <c r="H266" s="231"/>
      <c r="I266" s="233"/>
      <c r="J266" s="91"/>
      <c r="K266" s="80"/>
      <c r="L266" s="92"/>
    </row>
    <row r="267" spans="1:12" x14ac:dyDescent="0.2">
      <c r="A267" s="153"/>
      <c r="B267" s="202" t="s">
        <v>537</v>
      </c>
      <c r="C267" s="309"/>
      <c r="D267" s="96"/>
      <c r="E267" s="139"/>
      <c r="F267" s="139"/>
      <c r="G267" s="95"/>
      <c r="H267" s="231"/>
      <c r="I267" s="233"/>
      <c r="J267" s="91"/>
      <c r="K267" s="80"/>
      <c r="L267" s="92"/>
    </row>
    <row r="268" spans="1:12" x14ac:dyDescent="0.2">
      <c r="A268" s="153"/>
      <c r="B268" s="202" t="s">
        <v>538</v>
      </c>
      <c r="C268" s="309"/>
      <c r="D268" s="96"/>
      <c r="E268" s="139"/>
      <c r="F268" s="139"/>
      <c r="G268" s="95"/>
      <c r="H268" s="231"/>
      <c r="I268" s="233"/>
      <c r="J268" s="91"/>
      <c r="K268" s="80"/>
      <c r="L268" s="92"/>
    </row>
    <row r="269" spans="1:12" x14ac:dyDescent="0.2">
      <c r="A269" s="153"/>
      <c r="B269" s="202" t="s">
        <v>539</v>
      </c>
      <c r="C269" s="309"/>
      <c r="D269" s="96"/>
      <c r="E269" s="139"/>
      <c r="F269" s="139"/>
      <c r="G269" s="95"/>
      <c r="H269" s="231"/>
      <c r="I269" s="233"/>
      <c r="J269" s="91"/>
      <c r="K269" s="80"/>
      <c r="L269" s="95"/>
    </row>
    <row r="270" spans="1:12" s="93" customFormat="1" x14ac:dyDescent="0.2">
      <c r="A270" s="153"/>
      <c r="B270" s="202" t="s">
        <v>540</v>
      </c>
      <c r="C270" s="106"/>
      <c r="D270" s="95"/>
      <c r="E270" s="140"/>
      <c r="F270" s="140"/>
      <c r="G270" s="99"/>
      <c r="H270" s="243"/>
      <c r="I270" s="233"/>
      <c r="J270" s="91"/>
      <c r="K270" s="94"/>
      <c r="L270" s="92"/>
    </row>
    <row r="271" spans="1:12" s="93" customFormat="1" hidden="1" x14ac:dyDescent="0.2">
      <c r="A271" s="153"/>
      <c r="B271" s="202"/>
      <c r="C271" s="106"/>
      <c r="D271" s="95"/>
      <c r="E271" s="140"/>
      <c r="F271" s="140"/>
      <c r="G271" s="99"/>
      <c r="H271" s="243"/>
      <c r="I271" s="233"/>
      <c r="J271" s="91"/>
      <c r="K271" s="94"/>
      <c r="L271" s="92"/>
    </row>
    <row r="272" spans="1:12" s="93" customFormat="1" x14ac:dyDescent="0.2">
      <c r="A272" s="153"/>
      <c r="B272" s="202"/>
      <c r="C272" s="106"/>
      <c r="D272" s="95"/>
      <c r="E272" s="140"/>
      <c r="F272" s="140"/>
      <c r="G272" s="99"/>
      <c r="H272" s="243"/>
      <c r="I272" s="233"/>
      <c r="J272" s="91"/>
      <c r="K272" s="94"/>
      <c r="L272" s="92"/>
    </row>
    <row r="273" spans="1:12" x14ac:dyDescent="0.2">
      <c r="A273" s="150"/>
      <c r="B273" s="324"/>
      <c r="C273" s="324"/>
      <c r="D273" s="324"/>
      <c r="E273" s="324"/>
      <c r="F273" s="324"/>
      <c r="G273" s="324"/>
      <c r="H273" s="231"/>
      <c r="I273" s="233"/>
      <c r="J273" s="91"/>
      <c r="K273" s="80"/>
      <c r="L273" s="92"/>
    </row>
    <row r="274" spans="1:12" hidden="1" x14ac:dyDescent="0.2">
      <c r="A274" s="153"/>
      <c r="B274" s="143"/>
      <c r="C274" s="153"/>
      <c r="D274" s="279"/>
      <c r="E274" s="155"/>
      <c r="F274" s="155"/>
      <c r="G274" s="99"/>
      <c r="H274" s="231"/>
      <c r="I274" s="233"/>
      <c r="J274" s="91"/>
      <c r="K274" s="80"/>
      <c r="L274" s="92"/>
    </row>
    <row r="275" spans="1:12" s="93" customFormat="1" x14ac:dyDescent="0.2">
      <c r="A275" s="320" t="s">
        <v>221</v>
      </c>
      <c r="B275" s="199" t="s">
        <v>448</v>
      </c>
      <c r="C275" s="153"/>
      <c r="D275" s="279"/>
      <c r="E275" s="155"/>
      <c r="F275" s="155"/>
      <c r="G275" s="99"/>
      <c r="H275" s="243"/>
      <c r="I275" s="233"/>
      <c r="J275" s="91"/>
      <c r="K275" s="94"/>
      <c r="L275" s="92"/>
    </row>
    <row r="276" spans="1:12" s="93" customFormat="1" x14ac:dyDescent="0.2">
      <c r="A276" s="150"/>
      <c r="B276" s="199" t="s">
        <v>541</v>
      </c>
      <c r="C276" s="153"/>
      <c r="D276" s="279"/>
      <c r="E276" s="155"/>
      <c r="F276" s="155"/>
      <c r="G276" s="99"/>
      <c r="H276" s="243"/>
      <c r="I276" s="233"/>
      <c r="J276" s="91"/>
      <c r="K276" s="94"/>
      <c r="L276" s="92"/>
    </row>
    <row r="277" spans="1:12" s="93" customFormat="1" x14ac:dyDescent="0.2">
      <c r="A277" s="153"/>
      <c r="B277" s="199" t="s">
        <v>531</v>
      </c>
      <c r="C277" s="153"/>
      <c r="D277" s="279"/>
      <c r="E277" s="155"/>
      <c r="F277" s="155"/>
      <c r="G277" s="99"/>
      <c r="H277" s="243"/>
      <c r="I277" s="233"/>
      <c r="J277" s="91"/>
      <c r="K277" s="94"/>
      <c r="L277" s="92"/>
    </row>
    <row r="278" spans="1:12" x14ac:dyDescent="0.2">
      <c r="A278" s="153"/>
      <c r="B278" s="289" t="s">
        <v>534</v>
      </c>
      <c r="C278" s="153"/>
      <c r="D278" s="279"/>
      <c r="E278" s="155"/>
      <c r="F278" s="155"/>
      <c r="G278" s="99"/>
      <c r="H278" s="231"/>
      <c r="I278" s="233"/>
      <c r="J278" s="91"/>
      <c r="K278" s="80"/>
      <c r="L278" s="95"/>
    </row>
    <row r="279" spans="1:12" s="93" customFormat="1" x14ac:dyDescent="0.2">
      <c r="A279" s="153"/>
      <c r="B279" s="199" t="s">
        <v>532</v>
      </c>
      <c r="C279" s="153"/>
      <c r="D279" s="279"/>
      <c r="E279" s="155"/>
      <c r="F279" s="155"/>
      <c r="G279" s="99"/>
      <c r="H279" s="243"/>
      <c r="I279" s="233"/>
      <c r="J279" s="91"/>
      <c r="K279" s="94"/>
      <c r="L279" s="92"/>
    </row>
    <row r="280" spans="1:12" s="93" customFormat="1" x14ac:dyDescent="0.2">
      <c r="A280" s="153"/>
      <c r="B280" s="199"/>
      <c r="C280" s="153"/>
      <c r="D280" s="279"/>
      <c r="E280" s="155"/>
      <c r="F280" s="155"/>
      <c r="G280" s="99"/>
      <c r="H280" s="243"/>
      <c r="I280" s="233"/>
      <c r="J280" s="91"/>
      <c r="K280" s="94"/>
      <c r="L280" s="92"/>
    </row>
    <row r="281" spans="1:12" s="93" customFormat="1" x14ac:dyDescent="0.2">
      <c r="A281" s="153"/>
      <c r="B281" s="199" t="s">
        <v>215</v>
      </c>
      <c r="C281" s="153"/>
      <c r="D281" s="279"/>
      <c r="E281" s="155"/>
      <c r="F281" s="155"/>
      <c r="G281" s="99"/>
      <c r="H281" s="243"/>
      <c r="I281" s="233"/>
      <c r="J281" s="91"/>
      <c r="K281" s="94"/>
      <c r="L281" s="92"/>
    </row>
    <row r="282" spans="1:12" x14ac:dyDescent="0.2">
      <c r="A282" s="153"/>
      <c r="B282" s="199" t="s">
        <v>205</v>
      </c>
      <c r="C282" s="153"/>
      <c r="D282" s="279"/>
      <c r="E282" s="155"/>
      <c r="F282" s="155"/>
      <c r="G282" s="99"/>
      <c r="H282" s="231"/>
      <c r="I282" s="199"/>
      <c r="J282" s="80"/>
      <c r="K282" s="80"/>
      <c r="L282" s="81"/>
    </row>
    <row r="283" spans="1:12" x14ac:dyDescent="0.2">
      <c r="A283" s="153"/>
      <c r="B283" s="201" t="s">
        <v>222</v>
      </c>
      <c r="C283" s="153"/>
      <c r="D283" s="279"/>
      <c r="E283" s="155"/>
      <c r="F283" s="155"/>
      <c r="G283" s="99"/>
      <c r="H283" s="231"/>
      <c r="I283" s="199"/>
      <c r="J283" s="80"/>
      <c r="K283" s="80"/>
      <c r="L283" s="81"/>
    </row>
    <row r="284" spans="1:12" x14ac:dyDescent="0.2">
      <c r="A284" s="153"/>
      <c r="B284" s="201"/>
      <c r="C284" s="153"/>
      <c r="D284" s="279"/>
      <c r="E284" s="155"/>
      <c r="F284" s="155"/>
      <c r="G284" s="99"/>
      <c r="H284" s="231"/>
      <c r="I284" s="199"/>
      <c r="J284" s="80"/>
      <c r="K284" s="80"/>
      <c r="L284" s="81"/>
    </row>
    <row r="285" spans="1:12" x14ac:dyDescent="0.2">
      <c r="A285" s="153"/>
      <c r="B285" s="324" t="s">
        <v>449</v>
      </c>
      <c r="C285" s="324"/>
      <c r="D285" s="324"/>
      <c r="E285" s="324"/>
      <c r="F285" s="324"/>
      <c r="G285" s="324"/>
      <c r="H285" s="231"/>
      <c r="I285" s="199"/>
      <c r="J285" s="80"/>
      <c r="K285" s="80"/>
      <c r="L285" s="81"/>
    </row>
    <row r="286" spans="1:12" x14ac:dyDescent="0.2">
      <c r="A286" s="153"/>
      <c r="B286" s="324" t="s">
        <v>450</v>
      </c>
      <c r="C286" s="324"/>
      <c r="D286" s="324"/>
      <c r="E286" s="324"/>
      <c r="F286" s="324"/>
      <c r="G286" s="324"/>
      <c r="H286" s="231"/>
      <c r="I286" s="199"/>
      <c r="J286" s="80"/>
      <c r="K286" s="80"/>
      <c r="L286" s="81"/>
    </row>
    <row r="287" spans="1:12" x14ac:dyDescent="0.2">
      <c r="A287" s="153"/>
      <c r="B287" s="324" t="s">
        <v>542</v>
      </c>
      <c r="C287" s="324"/>
      <c r="D287" s="324"/>
      <c r="E287" s="324"/>
      <c r="F287" s="324"/>
      <c r="G287" s="324"/>
      <c r="H287" s="231"/>
      <c r="I287" s="199"/>
      <c r="J287" s="80"/>
      <c r="K287" s="80"/>
      <c r="L287" s="81"/>
    </row>
    <row r="288" spans="1:12" x14ac:dyDescent="0.2">
      <c r="A288" s="153"/>
      <c r="B288" s="324" t="s">
        <v>543</v>
      </c>
      <c r="C288" s="324"/>
      <c r="D288" s="324"/>
      <c r="E288" s="324"/>
      <c r="F288" s="324"/>
      <c r="G288" s="324"/>
      <c r="H288" s="231"/>
      <c r="I288" s="199"/>
      <c r="J288" s="80"/>
      <c r="K288" s="80"/>
      <c r="L288" s="81"/>
    </row>
    <row r="289" spans="1:12" x14ac:dyDescent="0.2">
      <c r="A289" s="153"/>
      <c r="B289" s="202" t="s">
        <v>544</v>
      </c>
      <c r="C289" s="153"/>
      <c r="D289" s="279"/>
      <c r="E289" s="155"/>
      <c r="F289" s="155"/>
      <c r="G289" s="99"/>
      <c r="H289" s="231"/>
      <c r="I289" s="199"/>
      <c r="J289" s="80"/>
      <c r="K289" s="80"/>
      <c r="L289" s="81"/>
    </row>
    <row r="290" spans="1:12" x14ac:dyDescent="0.2">
      <c r="A290" s="153"/>
      <c r="B290" s="202" t="s">
        <v>545</v>
      </c>
      <c r="C290" s="153"/>
      <c r="D290" s="279"/>
      <c r="E290" s="155"/>
      <c r="F290" s="155"/>
      <c r="G290" s="99"/>
      <c r="H290" s="231"/>
      <c r="I290" s="199"/>
      <c r="J290" s="80"/>
      <c r="K290" s="80"/>
      <c r="L290" s="81"/>
    </row>
    <row r="291" spans="1:12" ht="25.5" x14ac:dyDescent="0.2">
      <c r="A291" s="153"/>
      <c r="B291" s="202" t="s">
        <v>546</v>
      </c>
      <c r="C291" s="153"/>
      <c r="D291" s="279"/>
      <c r="E291" s="155"/>
      <c r="F291" s="155"/>
      <c r="G291" s="99"/>
      <c r="H291" s="231"/>
      <c r="I291" s="199"/>
      <c r="J291" s="80"/>
      <c r="K291" s="80"/>
      <c r="L291" s="81"/>
    </row>
    <row r="292" spans="1:12" ht="25.5" x14ac:dyDescent="0.2">
      <c r="A292" s="153"/>
      <c r="B292" s="202" t="s">
        <v>567</v>
      </c>
      <c r="C292" s="153"/>
      <c r="D292" s="279"/>
      <c r="E292" s="155"/>
      <c r="F292" s="155"/>
      <c r="G292" s="99"/>
      <c r="H292" s="231"/>
      <c r="I292" s="199"/>
      <c r="J292" s="80"/>
      <c r="K292" s="80"/>
      <c r="L292" s="81"/>
    </row>
    <row r="293" spans="1:12" x14ac:dyDescent="0.2">
      <c r="A293" s="104"/>
      <c r="B293" s="105"/>
      <c r="C293" s="162"/>
      <c r="D293" s="96"/>
      <c r="E293" s="139"/>
      <c r="F293" s="139"/>
      <c r="G293" s="95"/>
      <c r="H293" s="231"/>
      <c r="I293" s="199"/>
      <c r="J293" s="80"/>
      <c r="K293" s="80"/>
      <c r="L293" s="81"/>
    </row>
    <row r="294" spans="1:12" x14ac:dyDescent="0.2">
      <c r="A294" s="106"/>
      <c r="B294" s="107"/>
      <c r="C294" s="106"/>
      <c r="D294" s="95"/>
      <c r="E294" s="140"/>
      <c r="F294" s="140"/>
      <c r="G294" s="99"/>
      <c r="H294" s="231"/>
      <c r="I294" s="199"/>
      <c r="J294" s="80"/>
      <c r="K294" s="80"/>
      <c r="L294" s="81"/>
    </row>
    <row r="295" spans="1:12" s="143" customFormat="1" x14ac:dyDescent="0.2">
      <c r="A295" s="77"/>
      <c r="B295" s="202"/>
      <c r="C295" s="77"/>
      <c r="D295" s="78"/>
      <c r="E295" s="130"/>
      <c r="F295" s="130"/>
      <c r="G295" s="99"/>
      <c r="H295" s="231"/>
      <c r="I295" s="199"/>
      <c r="J295" s="146"/>
      <c r="K295" s="146"/>
      <c r="L295" s="204"/>
    </row>
    <row r="296" spans="1:12" s="143" customFormat="1" ht="15" customHeight="1" x14ac:dyDescent="0.2">
      <c r="A296" s="150" t="s">
        <v>247</v>
      </c>
      <c r="B296" s="278" t="s">
        <v>373</v>
      </c>
      <c r="C296" s="153"/>
      <c r="D296" s="279"/>
      <c r="E296" s="155"/>
      <c r="F296" s="155"/>
      <c r="G296" s="99"/>
      <c r="H296" s="231"/>
      <c r="I296" s="199"/>
      <c r="J296" s="146"/>
      <c r="K296" s="146"/>
      <c r="L296" s="204"/>
    </row>
    <row r="297" spans="1:12" s="143" customFormat="1" x14ac:dyDescent="0.2">
      <c r="A297" s="150"/>
      <c r="B297" s="278"/>
      <c r="C297" s="153"/>
      <c r="D297" s="279"/>
      <c r="E297" s="155"/>
      <c r="F297" s="155"/>
      <c r="G297" s="99"/>
      <c r="H297" s="231"/>
      <c r="I297" s="199"/>
      <c r="J297" s="146"/>
      <c r="K297" s="146"/>
      <c r="L297" s="204"/>
    </row>
    <row r="298" spans="1:12" s="143" customFormat="1" x14ac:dyDescent="0.2">
      <c r="A298" s="153"/>
      <c r="B298" s="280" t="s">
        <v>374</v>
      </c>
      <c r="C298" s="153"/>
      <c r="D298" s="279"/>
      <c r="E298" s="155"/>
      <c r="F298" s="155"/>
      <c r="G298" s="99"/>
      <c r="H298" s="231"/>
      <c r="I298" s="199"/>
      <c r="J298" s="146"/>
      <c r="K298" s="146"/>
      <c r="L298" s="204"/>
    </row>
    <row r="299" spans="1:12" s="143" customFormat="1" x14ac:dyDescent="0.2">
      <c r="A299" s="153"/>
      <c r="B299" s="202" t="s">
        <v>375</v>
      </c>
      <c r="C299" s="153"/>
      <c r="D299" s="279"/>
      <c r="E299" s="155"/>
      <c r="F299" s="155"/>
      <c r="G299" s="99"/>
      <c r="H299" s="231"/>
      <c r="I299" s="199"/>
      <c r="J299" s="146"/>
      <c r="K299" s="146"/>
      <c r="L299" s="204"/>
    </row>
    <row r="300" spans="1:12" s="143" customFormat="1" x14ac:dyDescent="0.2">
      <c r="A300" s="153"/>
      <c r="B300" s="281" t="s">
        <v>376</v>
      </c>
      <c r="C300" s="153"/>
      <c r="D300" s="279"/>
      <c r="E300" s="155"/>
      <c r="F300" s="155"/>
      <c r="G300" s="99"/>
      <c r="H300" s="231"/>
      <c r="I300" s="199"/>
      <c r="J300" s="146"/>
      <c r="K300" s="146"/>
      <c r="L300" s="204"/>
    </row>
    <row r="301" spans="1:12" s="143" customFormat="1" x14ac:dyDescent="0.2">
      <c r="A301" s="153"/>
      <c r="B301" s="281" t="s">
        <v>377</v>
      </c>
      <c r="C301" s="153"/>
      <c r="D301" s="279"/>
      <c r="E301" s="279"/>
      <c r="F301" s="279"/>
      <c r="G301" s="282"/>
      <c r="H301" s="231"/>
      <c r="I301" s="199"/>
      <c r="J301" s="146"/>
      <c r="K301" s="146"/>
      <c r="L301" s="204"/>
    </row>
    <row r="302" spans="1:12" s="143" customFormat="1" x14ac:dyDescent="0.2">
      <c r="A302" s="284"/>
      <c r="B302" s="285"/>
      <c r="C302" s="284"/>
      <c r="D302" s="95"/>
      <c r="E302" s="170"/>
      <c r="F302" s="286"/>
      <c r="G302" s="95"/>
      <c r="H302" s="231"/>
      <c r="I302" s="199"/>
      <c r="J302" s="146"/>
      <c r="K302" s="146"/>
      <c r="L302" s="204"/>
    </row>
    <row r="303" spans="1:12" s="143" customFormat="1" x14ac:dyDescent="0.2">
      <c r="A303" s="153"/>
      <c r="B303" s="280" t="s">
        <v>378</v>
      </c>
      <c r="C303" s="153"/>
      <c r="D303" s="279"/>
      <c r="E303" s="155"/>
      <c r="F303" s="155"/>
      <c r="G303" s="99"/>
      <c r="I303" s="92"/>
      <c r="J303" s="283"/>
      <c r="K303" s="146"/>
      <c r="L303" s="95"/>
    </row>
    <row r="304" spans="1:12" s="143" customFormat="1" x14ac:dyDescent="0.2">
      <c r="A304" s="153"/>
      <c r="B304" s="202" t="s">
        <v>375</v>
      </c>
      <c r="C304" s="153"/>
      <c r="D304" s="279"/>
      <c r="E304" s="155"/>
      <c r="F304" s="155"/>
      <c r="G304" s="99"/>
      <c r="H304" s="146"/>
      <c r="I304" s="146"/>
    </row>
    <row r="305" spans="1:12" s="143" customFormat="1" x14ac:dyDescent="0.2">
      <c r="A305" s="153"/>
      <c r="B305" s="281" t="s">
        <v>379</v>
      </c>
      <c r="C305" s="153"/>
      <c r="D305" s="279"/>
      <c r="E305" s="155"/>
      <c r="F305" s="155"/>
      <c r="G305" s="99"/>
      <c r="I305" s="92"/>
      <c r="J305" s="283"/>
      <c r="K305" s="146"/>
      <c r="L305" s="204"/>
    </row>
    <row r="306" spans="1:12" s="149" customFormat="1" x14ac:dyDescent="0.2">
      <c r="A306" s="153"/>
      <c r="B306" s="281" t="s">
        <v>380</v>
      </c>
      <c r="C306" s="153"/>
      <c r="D306" s="279"/>
      <c r="E306" s="279"/>
      <c r="F306" s="279"/>
      <c r="G306" s="282"/>
      <c r="I306" s="92"/>
      <c r="J306" s="283"/>
      <c r="L306" s="92"/>
    </row>
    <row r="307" spans="1:12" s="149" customFormat="1" x14ac:dyDescent="0.2">
      <c r="A307" s="287"/>
      <c r="B307" s="288"/>
      <c r="C307" s="287"/>
      <c r="D307" s="204"/>
      <c r="E307" s="170"/>
      <c r="F307" s="286"/>
      <c r="G307" s="109"/>
      <c r="I307" s="92"/>
      <c r="J307" s="283"/>
      <c r="L307" s="92"/>
    </row>
    <row r="308" spans="1:12" s="146" customFormat="1" x14ac:dyDescent="0.2">
      <c r="A308" s="153"/>
      <c r="B308" s="280" t="s">
        <v>381</v>
      </c>
      <c r="C308" s="153"/>
      <c r="D308" s="279"/>
      <c r="E308" s="155"/>
      <c r="F308" s="155"/>
      <c r="G308" s="99"/>
      <c r="I308" s="92"/>
      <c r="J308" s="283"/>
      <c r="L308" s="95"/>
    </row>
    <row r="309" spans="1:12" s="143" customFormat="1" x14ac:dyDescent="0.2">
      <c r="A309" s="153"/>
      <c r="B309" s="202" t="s">
        <v>375</v>
      </c>
      <c r="C309" s="153"/>
      <c r="D309" s="279"/>
      <c r="E309" s="155"/>
      <c r="F309" s="155"/>
      <c r="G309" s="99"/>
      <c r="H309" s="231"/>
      <c r="I309" s="199"/>
      <c r="J309" s="146"/>
      <c r="K309" s="146"/>
      <c r="L309" s="204"/>
    </row>
    <row r="310" spans="1:12" s="143" customFormat="1" x14ac:dyDescent="0.2">
      <c r="A310" s="153"/>
      <c r="B310" s="281" t="s">
        <v>382</v>
      </c>
      <c r="C310" s="153"/>
      <c r="D310" s="279"/>
      <c r="E310" s="155"/>
      <c r="F310" s="155"/>
      <c r="G310" s="99"/>
      <c r="H310" s="231"/>
      <c r="I310" s="199"/>
      <c r="J310" s="146"/>
      <c r="K310" s="146"/>
      <c r="L310" s="204"/>
    </row>
    <row r="311" spans="1:12" s="143" customFormat="1" x14ac:dyDescent="0.2">
      <c r="A311" s="153"/>
      <c r="B311" s="281" t="s">
        <v>383</v>
      </c>
      <c r="C311" s="153"/>
      <c r="D311" s="279"/>
      <c r="E311" s="279"/>
      <c r="F311" s="279"/>
      <c r="G311" s="282"/>
      <c r="H311" s="231"/>
      <c r="I311" s="199"/>
      <c r="J311" s="146"/>
      <c r="K311" s="146"/>
      <c r="L311" s="204"/>
    </row>
    <row r="312" spans="1:12" s="143" customFormat="1" x14ac:dyDescent="0.2">
      <c r="A312" s="200"/>
      <c r="B312" s="146"/>
      <c r="C312" s="200"/>
      <c r="D312" s="204"/>
      <c r="E312" s="204"/>
      <c r="F312" s="204"/>
      <c r="G312" s="95"/>
      <c r="H312" s="231"/>
      <c r="I312" s="199"/>
      <c r="J312" s="146"/>
      <c r="K312" s="146"/>
      <c r="L312" s="204"/>
    </row>
    <row r="313" spans="1:12" s="143" customFormat="1" x14ac:dyDescent="0.2">
      <c r="A313" s="153"/>
      <c r="B313" s="280" t="s">
        <v>402</v>
      </c>
      <c r="C313" s="153"/>
      <c r="D313" s="279"/>
      <c r="E313" s="155"/>
      <c r="F313" s="155"/>
      <c r="G313" s="99"/>
      <c r="H313" s="231"/>
      <c r="I313" s="199"/>
      <c r="J313" s="146"/>
      <c r="K313" s="146"/>
      <c r="L313" s="204"/>
    </row>
    <row r="314" spans="1:12" s="143" customFormat="1" x14ac:dyDescent="0.2">
      <c r="A314" s="200"/>
      <c r="B314" s="146"/>
      <c r="C314" s="200"/>
      <c r="D314" s="204"/>
      <c r="E314" s="204"/>
      <c r="F314" s="204"/>
      <c r="G314" s="95"/>
      <c r="H314" s="231"/>
      <c r="I314" s="199"/>
      <c r="J314" s="146"/>
      <c r="K314" s="146"/>
      <c r="L314" s="204"/>
    </row>
    <row r="315" spans="1:12" s="143" customFormat="1" x14ac:dyDescent="0.2">
      <c r="A315" s="320"/>
      <c r="B315" s="289" t="s">
        <v>384</v>
      </c>
      <c r="C315" s="289"/>
      <c r="D315" s="279"/>
      <c r="E315" s="155"/>
      <c r="F315" s="155"/>
      <c r="G315" s="99"/>
      <c r="H315" s="231"/>
      <c r="I315" s="199"/>
      <c r="J315" s="146"/>
      <c r="K315" s="146"/>
      <c r="L315" s="204"/>
    </row>
    <row r="316" spans="1:12" x14ac:dyDescent="0.2">
      <c r="A316" s="153"/>
      <c r="B316" s="202" t="s">
        <v>385</v>
      </c>
      <c r="C316" s="153"/>
      <c r="D316" s="279"/>
      <c r="E316" s="155"/>
      <c r="F316" s="155"/>
      <c r="G316" s="99"/>
      <c r="H316" s="231"/>
      <c r="I316" s="199"/>
      <c r="J316" s="80"/>
      <c r="K316" s="80"/>
      <c r="L316" s="81"/>
    </row>
    <row r="317" spans="1:12" x14ac:dyDescent="0.2">
      <c r="A317" s="153"/>
      <c r="B317" s="202" t="s">
        <v>386</v>
      </c>
      <c r="C317" s="153"/>
      <c r="D317" s="279"/>
      <c r="E317" s="155"/>
      <c r="F317" s="155"/>
      <c r="G317" s="99"/>
      <c r="H317" s="231"/>
      <c r="I317" s="199"/>
      <c r="J317" s="80"/>
      <c r="K317" s="80"/>
      <c r="L317" s="81"/>
    </row>
    <row r="318" spans="1:12" s="143" customFormat="1" ht="12" customHeight="1" x14ac:dyDescent="0.2">
      <c r="A318" s="153"/>
      <c r="B318" s="281" t="s">
        <v>387</v>
      </c>
      <c r="C318" s="153"/>
      <c r="D318" s="279"/>
      <c r="E318" s="155"/>
      <c r="F318" s="155"/>
      <c r="G318" s="99"/>
      <c r="H318" s="231"/>
      <c r="I318" s="199"/>
      <c r="J318" s="146"/>
      <c r="K318" s="146"/>
      <c r="L318" s="204"/>
    </row>
    <row r="319" spans="1:12" s="143" customFormat="1" x14ac:dyDescent="0.2">
      <c r="A319" s="153"/>
      <c r="B319" s="281" t="s">
        <v>547</v>
      </c>
      <c r="C319" s="153"/>
      <c r="D319" s="279"/>
      <c r="E319" s="279"/>
      <c r="F319" s="279"/>
      <c r="G319" s="282"/>
      <c r="H319" s="231"/>
      <c r="I319" s="199"/>
      <c r="J319" s="146"/>
      <c r="K319" s="146"/>
      <c r="L319" s="204"/>
    </row>
    <row r="320" spans="1:12" s="143" customFormat="1" ht="14.25" x14ac:dyDescent="0.3">
      <c r="A320" s="153"/>
      <c r="B320" s="281" t="s">
        <v>548</v>
      </c>
      <c r="C320" s="153"/>
      <c r="D320" s="290"/>
      <c r="E320" s="160"/>
      <c r="F320" s="291"/>
      <c r="G320" s="292"/>
      <c r="H320" s="231"/>
      <c r="I320" s="199"/>
      <c r="J320" s="146"/>
      <c r="K320" s="146"/>
      <c r="L320" s="204"/>
    </row>
    <row r="321" spans="1:12" s="143" customFormat="1" x14ac:dyDescent="0.2">
      <c r="A321" s="153"/>
      <c r="B321" s="281" t="s">
        <v>549</v>
      </c>
      <c r="C321" s="153"/>
      <c r="D321" s="279"/>
      <c r="E321" s="279"/>
      <c r="F321" s="279"/>
      <c r="G321" s="99"/>
      <c r="H321" s="231"/>
      <c r="I321" s="199"/>
      <c r="J321" s="146"/>
      <c r="K321" s="146"/>
      <c r="L321" s="204"/>
    </row>
    <row r="322" spans="1:12" s="143" customFormat="1" x14ac:dyDescent="0.2">
      <c r="A322" s="106"/>
      <c r="B322" s="281" t="s">
        <v>393</v>
      </c>
      <c r="C322" s="106"/>
      <c r="D322" s="95"/>
      <c r="E322" s="170"/>
      <c r="F322" s="293"/>
      <c r="G322" s="95"/>
      <c r="I322" s="92"/>
      <c r="J322" s="283"/>
      <c r="K322" s="146"/>
      <c r="L322" s="95"/>
    </row>
    <row r="323" spans="1:12" s="143" customFormat="1" x14ac:dyDescent="0.2">
      <c r="A323" s="106"/>
      <c r="B323" s="281" t="s">
        <v>394</v>
      </c>
      <c r="C323" s="106"/>
      <c r="D323" s="96"/>
      <c r="E323" s="170"/>
      <c r="F323" s="293"/>
      <c r="G323" s="95"/>
      <c r="H323" s="231"/>
      <c r="I323" s="199"/>
      <c r="J323" s="146"/>
      <c r="K323" s="146"/>
      <c r="L323" s="204"/>
    </row>
    <row r="324" spans="1:12" s="143" customFormat="1" x14ac:dyDescent="0.2">
      <c r="A324" s="106"/>
      <c r="B324" s="281" t="s">
        <v>395</v>
      </c>
      <c r="C324" s="106"/>
      <c r="D324" s="96"/>
      <c r="E324" s="170"/>
      <c r="F324" s="293"/>
      <c r="G324" s="95"/>
      <c r="I324" s="92"/>
      <c r="J324" s="283"/>
      <c r="K324" s="146"/>
      <c r="L324" s="95"/>
    </row>
    <row r="325" spans="1:12" s="143" customFormat="1" x14ac:dyDescent="0.2">
      <c r="A325" s="106"/>
      <c r="B325" s="281" t="s">
        <v>388</v>
      </c>
      <c r="C325" s="106"/>
      <c r="D325" s="96"/>
      <c r="E325" s="170"/>
      <c r="F325" s="293"/>
      <c r="G325" s="95"/>
      <c r="I325" s="92"/>
      <c r="J325" s="283"/>
      <c r="K325" s="146"/>
      <c r="L325" s="95"/>
    </row>
    <row r="326" spans="1:12" s="143" customFormat="1" x14ac:dyDescent="0.2">
      <c r="A326" s="153"/>
      <c r="B326" s="324"/>
      <c r="C326" s="324"/>
      <c r="D326" s="324"/>
      <c r="E326" s="324"/>
      <c r="F326" s="324"/>
      <c r="G326" s="324"/>
      <c r="I326" s="92"/>
      <c r="J326" s="283"/>
      <c r="K326" s="146"/>
      <c r="L326" s="95"/>
    </row>
    <row r="327" spans="1:12" s="143" customFormat="1" x14ac:dyDescent="0.2">
      <c r="A327" s="153"/>
      <c r="B327" s="324" t="s">
        <v>550</v>
      </c>
      <c r="C327" s="324"/>
      <c r="D327" s="324"/>
      <c r="E327" s="324"/>
      <c r="F327" s="324"/>
      <c r="G327" s="324"/>
      <c r="I327" s="92"/>
      <c r="J327" s="283"/>
      <c r="K327" s="146"/>
      <c r="L327" s="95"/>
    </row>
    <row r="328" spans="1:12" s="146" customFormat="1" x14ac:dyDescent="0.2">
      <c r="A328" s="153"/>
      <c r="B328" s="324" t="s">
        <v>551</v>
      </c>
      <c r="C328" s="324"/>
      <c r="D328" s="324"/>
      <c r="E328" s="324"/>
      <c r="F328" s="324"/>
      <c r="G328" s="324"/>
      <c r="I328" s="92"/>
      <c r="J328" s="283"/>
      <c r="L328" s="92"/>
    </row>
    <row r="329" spans="1:12" s="143" customFormat="1" x14ac:dyDescent="0.2">
      <c r="A329" s="153"/>
      <c r="B329" s="324" t="s">
        <v>552</v>
      </c>
      <c r="C329" s="324"/>
      <c r="D329" s="324"/>
      <c r="E329" s="324"/>
      <c r="F329" s="324"/>
      <c r="G329" s="324"/>
      <c r="H329" s="231"/>
      <c r="I329" s="199"/>
      <c r="J329" s="146"/>
      <c r="K329" s="146"/>
      <c r="L329" s="204"/>
    </row>
    <row r="330" spans="1:12" s="143" customFormat="1" x14ac:dyDescent="0.2">
      <c r="A330" s="153"/>
      <c r="B330" s="202" t="s">
        <v>396</v>
      </c>
      <c r="C330" s="153"/>
      <c r="D330" s="279"/>
      <c r="E330" s="155"/>
      <c r="F330" s="155"/>
      <c r="G330" s="99"/>
      <c r="H330" s="231"/>
      <c r="I330" s="199"/>
      <c r="J330" s="146"/>
      <c r="K330" s="146"/>
      <c r="L330" s="204"/>
    </row>
    <row r="331" spans="1:12" s="143" customFormat="1" x14ac:dyDescent="0.2">
      <c r="A331" s="153"/>
      <c r="B331" s="202" t="s">
        <v>397</v>
      </c>
      <c r="C331" s="153"/>
      <c r="D331" s="279"/>
      <c r="E331" s="155"/>
      <c r="F331" s="155"/>
      <c r="G331" s="99"/>
      <c r="H331" s="231"/>
      <c r="I331" s="199"/>
      <c r="J331" s="146"/>
      <c r="K331" s="146"/>
      <c r="L331" s="204"/>
    </row>
    <row r="332" spans="1:12" s="143" customFormat="1" x14ac:dyDescent="0.2">
      <c r="A332" s="153"/>
      <c r="B332" s="202" t="s">
        <v>553</v>
      </c>
      <c r="C332" s="153"/>
      <c r="D332" s="279"/>
      <c r="E332" s="155"/>
      <c r="F332" s="155"/>
      <c r="G332" s="99"/>
      <c r="I332" s="92"/>
      <c r="J332" s="283"/>
      <c r="K332" s="146"/>
      <c r="L332" s="95"/>
    </row>
    <row r="333" spans="1:12" s="143" customFormat="1" x14ac:dyDescent="0.2">
      <c r="A333" s="153"/>
      <c r="B333" s="202"/>
      <c r="C333" s="153"/>
      <c r="D333" s="279"/>
      <c r="E333" s="155"/>
      <c r="F333" s="155"/>
      <c r="G333" s="99"/>
      <c r="H333" s="231"/>
      <c r="I333" s="199"/>
      <c r="J333" s="146"/>
      <c r="K333" s="146"/>
      <c r="L333" s="204"/>
    </row>
    <row r="334" spans="1:12" s="143" customFormat="1" x14ac:dyDescent="0.2">
      <c r="A334" s="320"/>
      <c r="B334" s="289" t="s">
        <v>389</v>
      </c>
      <c r="C334" s="153"/>
      <c r="D334" s="279"/>
      <c r="E334" s="155"/>
      <c r="F334" s="155"/>
      <c r="G334" s="99"/>
      <c r="I334" s="92"/>
      <c r="J334" s="283"/>
      <c r="K334" s="146"/>
      <c r="L334" s="95"/>
    </row>
    <row r="335" spans="1:12" s="143" customFormat="1" x14ac:dyDescent="0.2">
      <c r="A335" s="153"/>
      <c r="B335" s="202" t="s">
        <v>390</v>
      </c>
      <c r="C335" s="153"/>
      <c r="D335" s="279"/>
      <c r="E335" s="155"/>
      <c r="F335" s="155"/>
      <c r="G335" s="99"/>
      <c r="I335" s="92"/>
      <c r="J335" s="283"/>
      <c r="K335" s="146"/>
      <c r="L335" s="95"/>
    </row>
    <row r="336" spans="1:12" s="143" customFormat="1" x14ac:dyDescent="0.2">
      <c r="A336" s="153"/>
      <c r="B336" s="202" t="s">
        <v>391</v>
      </c>
      <c r="C336" s="153"/>
      <c r="D336" s="279"/>
      <c r="E336" s="155"/>
      <c r="F336" s="155"/>
      <c r="G336" s="99"/>
      <c r="I336" s="92"/>
      <c r="J336" s="283"/>
      <c r="K336" s="146"/>
      <c r="L336" s="95"/>
    </row>
    <row r="337" spans="1:12" s="143" customFormat="1" x14ac:dyDescent="0.2">
      <c r="A337" s="153"/>
      <c r="B337" s="281" t="s">
        <v>392</v>
      </c>
      <c r="C337" s="153"/>
      <c r="D337" s="279"/>
      <c r="E337" s="155"/>
      <c r="F337" s="155"/>
      <c r="G337" s="99"/>
      <c r="I337" s="92"/>
      <c r="J337" s="283"/>
      <c r="K337" s="146"/>
      <c r="L337" s="95"/>
    </row>
    <row r="338" spans="1:12" s="146" customFormat="1" x14ac:dyDescent="0.2">
      <c r="A338" s="153"/>
      <c r="B338" s="281" t="s">
        <v>547</v>
      </c>
      <c r="C338" s="153"/>
      <c r="D338" s="279"/>
      <c r="E338" s="279"/>
      <c r="F338" s="279"/>
      <c r="G338" s="282"/>
      <c r="I338" s="92"/>
      <c r="J338" s="283"/>
      <c r="L338" s="92"/>
    </row>
    <row r="339" spans="1:12" s="143" customFormat="1" ht="12" customHeight="1" x14ac:dyDescent="0.3">
      <c r="A339" s="153"/>
      <c r="B339" s="281" t="s">
        <v>548</v>
      </c>
      <c r="C339" s="153"/>
      <c r="D339" s="290"/>
      <c r="E339" s="160"/>
      <c r="F339" s="291"/>
      <c r="G339" s="292"/>
      <c r="H339" s="231"/>
      <c r="I339" s="199"/>
      <c r="J339" s="146"/>
      <c r="K339" s="146"/>
      <c r="L339" s="204"/>
    </row>
    <row r="340" spans="1:12" s="143" customFormat="1" ht="12" customHeight="1" x14ac:dyDescent="0.2">
      <c r="A340" s="153"/>
      <c r="B340" s="281" t="s">
        <v>549</v>
      </c>
      <c r="C340" s="153"/>
      <c r="D340" s="279"/>
      <c r="E340" s="279"/>
      <c r="F340" s="279"/>
      <c r="G340" s="99"/>
      <c r="H340" s="231"/>
      <c r="I340" s="199"/>
      <c r="J340" s="146"/>
      <c r="K340" s="146"/>
      <c r="L340" s="204"/>
    </row>
    <row r="341" spans="1:12" s="146" customFormat="1" x14ac:dyDescent="0.2">
      <c r="A341" s="106"/>
      <c r="B341" s="281" t="s">
        <v>398</v>
      </c>
      <c r="C341" s="106"/>
      <c r="D341" s="95"/>
      <c r="E341" s="170"/>
      <c r="F341" s="293"/>
      <c r="G341" s="95"/>
      <c r="I341" s="92"/>
      <c r="J341" s="283"/>
      <c r="L341" s="92"/>
    </row>
    <row r="342" spans="1:12" s="143" customFormat="1" x14ac:dyDescent="0.2">
      <c r="A342" s="106"/>
      <c r="B342" s="281" t="s">
        <v>400</v>
      </c>
      <c r="C342" s="106"/>
      <c r="D342" s="95"/>
      <c r="E342" s="170"/>
      <c r="F342" s="293"/>
      <c r="G342" s="95"/>
      <c r="H342" s="231"/>
      <c r="I342" s="199"/>
      <c r="J342" s="146"/>
      <c r="K342" s="146"/>
      <c r="L342" s="204"/>
    </row>
    <row r="343" spans="1:12" s="143" customFormat="1" x14ac:dyDescent="0.2">
      <c r="A343" s="106"/>
      <c r="B343" s="281" t="s">
        <v>388</v>
      </c>
      <c r="C343" s="106"/>
      <c r="D343" s="96"/>
      <c r="E343" s="170"/>
      <c r="F343" s="293"/>
      <c r="G343" s="95"/>
      <c r="H343" s="231"/>
      <c r="I343" s="199"/>
      <c r="J343" s="146"/>
      <c r="K343" s="146"/>
      <c r="L343" s="204"/>
    </row>
    <row r="344" spans="1:12" s="143" customFormat="1" x14ac:dyDescent="0.2">
      <c r="A344" s="153"/>
      <c r="B344" s="324"/>
      <c r="C344" s="324"/>
      <c r="D344" s="324"/>
      <c r="E344" s="324"/>
      <c r="F344" s="324"/>
      <c r="G344" s="324"/>
      <c r="H344" s="231"/>
      <c r="I344" s="199"/>
      <c r="J344" s="146"/>
      <c r="K344" s="146"/>
      <c r="L344" s="204"/>
    </row>
    <row r="345" spans="1:12" s="143" customFormat="1" x14ac:dyDescent="0.2">
      <c r="A345" s="153"/>
      <c r="B345" s="324" t="s">
        <v>554</v>
      </c>
      <c r="C345" s="324"/>
      <c r="D345" s="324"/>
      <c r="E345" s="324"/>
      <c r="F345" s="324"/>
      <c r="G345" s="324"/>
      <c r="I345" s="92"/>
      <c r="J345" s="283"/>
      <c r="K345" s="146"/>
      <c r="L345" s="95"/>
    </row>
    <row r="346" spans="1:12" s="143" customFormat="1" x14ac:dyDescent="0.2">
      <c r="A346" s="153"/>
      <c r="B346" s="324" t="s">
        <v>555</v>
      </c>
      <c r="C346" s="324"/>
      <c r="D346" s="324"/>
      <c r="E346" s="324"/>
      <c r="F346" s="324"/>
      <c r="G346" s="324"/>
      <c r="H346" s="146"/>
      <c r="I346" s="146"/>
    </row>
    <row r="347" spans="1:12" s="146" customFormat="1" x14ac:dyDescent="0.2">
      <c r="A347" s="153"/>
      <c r="B347" s="324" t="s">
        <v>556</v>
      </c>
      <c r="C347" s="324"/>
      <c r="D347" s="324"/>
      <c r="E347" s="324"/>
      <c r="F347" s="324"/>
      <c r="G347" s="324"/>
      <c r="I347" s="92"/>
      <c r="J347" s="283"/>
      <c r="L347" s="204"/>
    </row>
    <row r="348" spans="1:12" s="146" customFormat="1" x14ac:dyDescent="0.2">
      <c r="A348" s="153"/>
      <c r="B348" s="202" t="s">
        <v>399</v>
      </c>
      <c r="C348" s="153"/>
      <c r="D348" s="279"/>
      <c r="E348" s="155"/>
      <c r="F348" s="155"/>
      <c r="G348" s="99"/>
      <c r="I348" s="92"/>
      <c r="J348" s="283"/>
      <c r="L348" s="204"/>
    </row>
    <row r="349" spans="1:12" s="146" customFormat="1" x14ac:dyDescent="0.2">
      <c r="A349" s="153"/>
      <c r="B349" s="202" t="s">
        <v>401</v>
      </c>
      <c r="C349" s="153"/>
      <c r="D349" s="279"/>
      <c r="E349" s="155"/>
      <c r="F349" s="155"/>
      <c r="G349" s="99"/>
      <c r="I349" s="92"/>
      <c r="J349" s="283"/>
      <c r="L349" s="95"/>
    </row>
    <row r="350" spans="1:12" s="143" customFormat="1" x14ac:dyDescent="0.2">
      <c r="A350" s="153"/>
      <c r="B350" s="202" t="s">
        <v>557</v>
      </c>
      <c r="C350" s="153"/>
      <c r="D350" s="279"/>
      <c r="E350" s="155"/>
      <c r="F350" s="155"/>
      <c r="G350" s="99"/>
      <c r="H350" s="231"/>
      <c r="I350" s="199"/>
      <c r="J350" s="146"/>
      <c r="K350" s="146"/>
      <c r="L350" s="204"/>
    </row>
    <row r="351" spans="1:12" s="143" customFormat="1" x14ac:dyDescent="0.2">
      <c r="A351" s="77"/>
      <c r="B351" s="76"/>
      <c r="C351" s="77"/>
      <c r="D351" s="78"/>
      <c r="E351" s="130"/>
      <c r="F351" s="130"/>
      <c r="G351" s="99"/>
      <c r="H351" s="231"/>
      <c r="I351" s="199"/>
      <c r="J351" s="146"/>
      <c r="K351" s="146"/>
      <c r="L351" s="204"/>
    </row>
    <row r="352" spans="1:12" s="143" customFormat="1" x14ac:dyDescent="0.2">
      <c r="A352" s="77"/>
      <c r="B352" s="76"/>
      <c r="C352" s="77"/>
      <c r="D352" s="78"/>
      <c r="E352" s="130"/>
      <c r="F352" s="130"/>
      <c r="G352" s="99"/>
      <c r="H352" s="231"/>
      <c r="I352" s="199"/>
      <c r="J352" s="146"/>
      <c r="K352" s="146"/>
      <c r="L352" s="204"/>
    </row>
    <row r="353" spans="1:12" s="143" customFormat="1" ht="15" customHeight="1" x14ac:dyDescent="0.2">
      <c r="A353" s="150" t="s">
        <v>427</v>
      </c>
      <c r="B353" s="278" t="s">
        <v>404</v>
      </c>
      <c r="C353" s="153"/>
      <c r="D353" s="279"/>
      <c r="E353" s="155"/>
      <c r="F353" s="155"/>
      <c r="G353" s="99"/>
      <c r="H353" s="231"/>
      <c r="I353" s="199"/>
      <c r="J353" s="146"/>
      <c r="K353" s="146"/>
      <c r="L353" s="204"/>
    </row>
    <row r="354" spans="1:12" s="143" customFormat="1" x14ac:dyDescent="0.2">
      <c r="A354" s="153"/>
      <c r="B354" s="280" t="s">
        <v>374</v>
      </c>
      <c r="C354" s="153"/>
      <c r="D354" s="279"/>
      <c r="E354" s="155"/>
      <c r="F354" s="155"/>
      <c r="G354" s="99"/>
      <c r="H354" s="231"/>
      <c r="I354" s="199"/>
      <c r="J354" s="146"/>
      <c r="K354" s="146"/>
      <c r="L354" s="204"/>
    </row>
    <row r="355" spans="1:12" s="143" customFormat="1" x14ac:dyDescent="0.2">
      <c r="A355" s="153"/>
      <c r="B355" s="202" t="s">
        <v>405</v>
      </c>
      <c r="C355" s="153"/>
      <c r="D355" s="279"/>
      <c r="E355" s="155"/>
      <c r="F355" s="155"/>
      <c r="G355" s="99"/>
      <c r="H355" s="231"/>
      <c r="I355" s="199"/>
      <c r="J355" s="146"/>
      <c r="K355" s="146"/>
      <c r="L355" s="204"/>
    </row>
    <row r="356" spans="1:12" s="143" customFormat="1" x14ac:dyDescent="0.2">
      <c r="A356" s="153"/>
      <c r="B356" s="281" t="s">
        <v>406</v>
      </c>
      <c r="C356" s="153"/>
      <c r="D356" s="279"/>
      <c r="E356" s="155"/>
      <c r="F356" s="155"/>
      <c r="G356" s="99"/>
      <c r="H356" s="231"/>
      <c r="I356" s="199"/>
      <c r="J356" s="146"/>
      <c r="K356" s="146"/>
      <c r="L356" s="204"/>
    </row>
    <row r="357" spans="1:12" s="143" customFormat="1" x14ac:dyDescent="0.2">
      <c r="A357" s="153"/>
      <c r="B357" s="281" t="s">
        <v>407</v>
      </c>
      <c r="C357" s="153"/>
      <c r="D357" s="279"/>
      <c r="E357" s="279"/>
      <c r="F357" s="279"/>
      <c r="G357" s="282"/>
      <c r="H357" s="231"/>
      <c r="I357" s="199"/>
      <c r="J357" s="146"/>
      <c r="K357" s="146"/>
      <c r="L357" s="204"/>
    </row>
    <row r="358" spans="1:12" x14ac:dyDescent="0.2">
      <c r="A358" s="153"/>
      <c r="B358" s="281" t="s">
        <v>408</v>
      </c>
      <c r="C358" s="153"/>
      <c r="D358" s="279"/>
      <c r="E358" s="155"/>
      <c r="F358" s="155"/>
      <c r="G358" s="99"/>
      <c r="H358" s="231"/>
      <c r="I358" s="199"/>
      <c r="J358" s="80"/>
      <c r="K358" s="80"/>
      <c r="L358" s="81"/>
    </row>
    <row r="359" spans="1:12" s="143" customFormat="1" ht="12" customHeight="1" x14ac:dyDescent="0.2">
      <c r="A359" s="153"/>
      <c r="B359" s="281" t="s">
        <v>409</v>
      </c>
      <c r="C359" s="153"/>
      <c r="D359" s="279"/>
      <c r="E359" s="279"/>
      <c r="F359" s="279"/>
      <c r="G359" s="282"/>
      <c r="H359" s="231"/>
      <c r="I359" s="199"/>
      <c r="J359" s="146"/>
      <c r="K359" s="146"/>
      <c r="L359" s="204"/>
    </row>
    <row r="360" spans="1:12" x14ac:dyDescent="0.2">
      <c r="A360" s="153"/>
      <c r="B360" s="281" t="s">
        <v>410</v>
      </c>
      <c r="C360" s="153"/>
      <c r="D360" s="279"/>
      <c r="E360" s="279"/>
      <c r="F360" s="279"/>
      <c r="G360" s="282"/>
      <c r="H360" s="231"/>
      <c r="I360" s="199"/>
      <c r="J360" s="80"/>
      <c r="K360" s="80"/>
      <c r="L360" s="81"/>
    </row>
    <row r="361" spans="1:12" s="143" customFormat="1" x14ac:dyDescent="0.2">
      <c r="A361" s="153"/>
      <c r="B361" s="281" t="s">
        <v>411</v>
      </c>
      <c r="C361" s="153"/>
      <c r="D361" s="279"/>
      <c r="E361" s="279"/>
      <c r="F361" s="279"/>
      <c r="G361" s="282"/>
      <c r="H361" s="231"/>
      <c r="I361" s="199"/>
      <c r="J361" s="146"/>
      <c r="K361" s="146"/>
      <c r="L361" s="204"/>
    </row>
    <row r="362" spans="1:12" s="143" customFormat="1" x14ac:dyDescent="0.2">
      <c r="A362" s="153"/>
      <c r="B362" s="281" t="s">
        <v>412</v>
      </c>
      <c r="C362" s="153"/>
      <c r="D362" s="279"/>
      <c r="E362" s="279"/>
      <c r="F362" s="279"/>
      <c r="G362" s="282"/>
      <c r="H362" s="231"/>
      <c r="I362" s="199"/>
      <c r="J362" s="146"/>
      <c r="K362" s="146"/>
      <c r="L362" s="204"/>
    </row>
    <row r="363" spans="1:12" s="143" customFormat="1" x14ac:dyDescent="0.2">
      <c r="A363" s="284"/>
      <c r="B363" s="285"/>
      <c r="C363" s="284"/>
      <c r="D363" s="95"/>
      <c r="E363" s="170"/>
      <c r="F363" s="286"/>
      <c r="G363" s="95"/>
      <c r="I363" s="92"/>
      <c r="J363" s="283"/>
      <c r="K363" s="146"/>
      <c r="L363" s="95"/>
    </row>
    <row r="364" spans="1:12" x14ac:dyDescent="0.2">
      <c r="A364" s="153"/>
      <c r="B364" s="280" t="s">
        <v>378</v>
      </c>
      <c r="C364" s="153"/>
      <c r="D364" s="279"/>
      <c r="E364" s="155"/>
      <c r="F364" s="155"/>
      <c r="G364" s="99"/>
      <c r="H364" s="231"/>
      <c r="I364" s="199"/>
      <c r="J364" s="80"/>
      <c r="K364" s="80"/>
      <c r="L364" s="81"/>
    </row>
    <row r="365" spans="1:12" x14ac:dyDescent="0.2">
      <c r="A365" s="153"/>
      <c r="B365" s="202" t="s">
        <v>405</v>
      </c>
      <c r="C365" s="153"/>
      <c r="D365" s="279"/>
      <c r="E365" s="155"/>
      <c r="F365" s="155"/>
      <c r="G365" s="99"/>
      <c r="H365" s="231"/>
      <c r="I365" s="199"/>
      <c r="J365" s="80"/>
      <c r="K365" s="80"/>
      <c r="L365" s="81"/>
    </row>
    <row r="366" spans="1:12" x14ac:dyDescent="0.2">
      <c r="A366" s="153"/>
      <c r="B366" s="281" t="s">
        <v>406</v>
      </c>
      <c r="C366" s="153"/>
      <c r="D366" s="279"/>
      <c r="E366" s="155"/>
      <c r="F366" s="155"/>
      <c r="G366" s="99"/>
      <c r="H366" s="231"/>
      <c r="I366" s="199"/>
      <c r="J366" s="80"/>
      <c r="K366" s="80"/>
      <c r="L366" s="81"/>
    </row>
    <row r="367" spans="1:12" x14ac:dyDescent="0.2">
      <c r="A367" s="153"/>
      <c r="B367" s="281" t="s">
        <v>413</v>
      </c>
      <c r="C367" s="153"/>
      <c r="D367" s="279"/>
      <c r="E367" s="279"/>
      <c r="F367" s="279"/>
      <c r="G367" s="282"/>
      <c r="H367" s="231"/>
      <c r="I367" s="199"/>
      <c r="J367" s="80"/>
      <c r="K367" s="80"/>
      <c r="L367" s="81"/>
    </row>
    <row r="368" spans="1:12" x14ac:dyDescent="0.2">
      <c r="A368" s="153"/>
      <c r="B368" s="281" t="s">
        <v>408</v>
      </c>
      <c r="C368" s="153"/>
      <c r="D368" s="279"/>
      <c r="E368" s="155"/>
      <c r="F368" s="155"/>
      <c r="G368" s="99"/>
      <c r="H368" s="231"/>
      <c r="I368" s="199"/>
      <c r="J368" s="80"/>
      <c r="K368" s="80"/>
      <c r="L368" s="81"/>
    </row>
    <row r="369" spans="1:12" x14ac:dyDescent="0.2">
      <c r="A369" s="153"/>
      <c r="B369" s="281" t="s">
        <v>409</v>
      </c>
      <c r="C369" s="153"/>
      <c r="D369" s="279"/>
      <c r="E369" s="279"/>
      <c r="F369" s="279"/>
      <c r="G369" s="282"/>
      <c r="H369" s="231"/>
      <c r="I369" s="199"/>
      <c r="J369" s="80"/>
      <c r="K369" s="80"/>
      <c r="L369" s="81"/>
    </row>
    <row r="370" spans="1:12" x14ac:dyDescent="0.2">
      <c r="A370" s="153"/>
      <c r="B370" s="281" t="s">
        <v>414</v>
      </c>
      <c r="C370" s="153"/>
      <c r="D370" s="279"/>
      <c r="E370" s="279"/>
      <c r="F370" s="279"/>
      <c r="G370" s="282"/>
      <c r="H370" s="231"/>
      <c r="I370" s="199"/>
      <c r="J370" s="80"/>
      <c r="K370" s="80"/>
      <c r="L370" s="81"/>
    </row>
    <row r="371" spans="1:12" x14ac:dyDescent="0.2">
      <c r="A371" s="153"/>
      <c r="B371" s="281" t="s">
        <v>415</v>
      </c>
      <c r="C371" s="153"/>
      <c r="D371" s="279"/>
      <c r="E371" s="279"/>
      <c r="F371" s="279"/>
      <c r="G371" s="282"/>
      <c r="H371" s="231"/>
      <c r="I371" s="199"/>
      <c r="J371" s="80"/>
      <c r="K371" s="80"/>
      <c r="L371" s="81"/>
    </row>
    <row r="372" spans="1:12" x14ac:dyDescent="0.2">
      <c r="A372" s="153"/>
      <c r="B372" s="281" t="s">
        <v>416</v>
      </c>
      <c r="C372" s="153"/>
      <c r="D372" s="279"/>
      <c r="E372" s="279"/>
      <c r="F372" s="279"/>
      <c r="G372" s="282"/>
      <c r="H372" s="231"/>
      <c r="I372" s="199"/>
      <c r="J372" s="80"/>
      <c r="K372" s="80"/>
      <c r="L372" s="81"/>
    </row>
    <row r="373" spans="1:12" x14ac:dyDescent="0.2">
      <c r="A373" s="287"/>
      <c r="B373" s="288"/>
      <c r="C373" s="287"/>
      <c r="D373" s="204"/>
      <c r="E373" s="170"/>
      <c r="F373" s="286"/>
      <c r="G373" s="109"/>
      <c r="H373" s="231"/>
      <c r="I373" s="199"/>
      <c r="J373" s="80"/>
      <c r="K373" s="80"/>
      <c r="L373" s="81"/>
    </row>
    <row r="374" spans="1:12" x14ac:dyDescent="0.2">
      <c r="A374" s="153"/>
      <c r="B374" s="280" t="s">
        <v>417</v>
      </c>
      <c r="C374" s="153"/>
      <c r="D374" s="279"/>
      <c r="E374" s="155"/>
      <c r="F374" s="155"/>
      <c r="G374" s="99"/>
      <c r="H374" s="231"/>
      <c r="I374" s="199"/>
      <c r="J374" s="80"/>
      <c r="K374" s="80"/>
      <c r="L374" s="81"/>
    </row>
    <row r="375" spans="1:12" x14ac:dyDescent="0.2">
      <c r="A375" s="153"/>
      <c r="B375" s="280" t="s">
        <v>418</v>
      </c>
      <c r="C375" s="153"/>
      <c r="D375" s="279"/>
      <c r="E375" s="155"/>
      <c r="F375" s="155"/>
      <c r="G375" s="99"/>
      <c r="H375" s="231"/>
      <c r="I375" s="199"/>
      <c r="J375" s="80"/>
      <c r="K375" s="80"/>
      <c r="L375" s="81"/>
    </row>
    <row r="376" spans="1:12" x14ac:dyDescent="0.2">
      <c r="A376" s="200"/>
      <c r="B376" s="146"/>
      <c r="C376" s="200"/>
      <c r="D376" s="204"/>
      <c r="E376" s="204"/>
      <c r="F376" s="204"/>
      <c r="G376" s="95"/>
      <c r="H376" s="231"/>
      <c r="I376" s="199"/>
      <c r="J376" s="80"/>
      <c r="K376" s="80"/>
      <c r="L376" s="81"/>
    </row>
    <row r="377" spans="1:12" x14ac:dyDescent="0.2">
      <c r="A377" s="320"/>
      <c r="B377" s="289" t="s">
        <v>419</v>
      </c>
      <c r="C377" s="153"/>
      <c r="D377" s="279"/>
      <c r="E377" s="155"/>
      <c r="F377" s="155"/>
      <c r="G377" s="99"/>
      <c r="H377" s="231"/>
      <c r="I377" s="199"/>
      <c r="J377" s="80"/>
      <c r="K377" s="80"/>
      <c r="L377" s="81"/>
    </row>
    <row r="378" spans="1:12" x14ac:dyDescent="0.2">
      <c r="A378" s="153"/>
      <c r="B378" s="202" t="s">
        <v>420</v>
      </c>
      <c r="C378" s="153"/>
      <c r="D378" s="279"/>
      <c r="E378" s="155"/>
      <c r="F378" s="155"/>
      <c r="G378" s="99"/>
      <c r="H378" s="231"/>
      <c r="I378" s="199"/>
      <c r="J378" s="80"/>
      <c r="K378" s="80"/>
      <c r="L378" s="81"/>
    </row>
    <row r="379" spans="1:12" x14ac:dyDescent="0.2">
      <c r="A379" s="153"/>
      <c r="B379" s="202" t="s">
        <v>420</v>
      </c>
      <c r="C379" s="153"/>
      <c r="D379" s="279"/>
      <c r="E379" s="155"/>
      <c r="F379" s="155"/>
      <c r="G379" s="99"/>
      <c r="H379" s="231"/>
      <c r="I379" s="199"/>
      <c r="J379" s="80"/>
      <c r="K379" s="80"/>
      <c r="L379" s="81"/>
    </row>
    <row r="380" spans="1:12" x14ac:dyDescent="0.2">
      <c r="A380" s="153"/>
      <c r="B380" s="281" t="s">
        <v>558</v>
      </c>
      <c r="C380" s="153"/>
      <c r="D380" s="279"/>
      <c r="E380" s="279"/>
      <c r="F380" s="279"/>
      <c r="G380" s="282"/>
      <c r="H380" s="231"/>
      <c r="I380" s="199"/>
      <c r="J380" s="80"/>
      <c r="K380" s="80"/>
      <c r="L380" s="81"/>
    </row>
    <row r="381" spans="1:12" ht="14.25" x14ac:dyDescent="0.3">
      <c r="A381" s="153"/>
      <c r="B381" s="281" t="s">
        <v>559</v>
      </c>
      <c r="C381" s="153"/>
      <c r="D381" s="290"/>
      <c r="E381" s="160"/>
      <c r="F381" s="291"/>
      <c r="G381" s="292"/>
      <c r="H381" s="231"/>
      <c r="I381" s="199"/>
      <c r="J381" s="80"/>
      <c r="K381" s="80"/>
      <c r="L381" s="81"/>
    </row>
    <row r="382" spans="1:12" x14ac:dyDescent="0.2">
      <c r="A382" s="106"/>
      <c r="B382" s="281" t="s">
        <v>421</v>
      </c>
      <c r="C382" s="106"/>
      <c r="D382" s="96"/>
      <c r="E382" s="170"/>
      <c r="F382" s="293"/>
      <c r="G382" s="95"/>
      <c r="H382" s="231"/>
      <c r="I382" s="199"/>
      <c r="J382" s="80"/>
      <c r="K382" s="80"/>
      <c r="L382" s="81"/>
    </row>
    <row r="383" spans="1:12" x14ac:dyDescent="0.2">
      <c r="A383" s="106"/>
      <c r="B383" s="281" t="s">
        <v>422</v>
      </c>
      <c r="C383" s="106"/>
      <c r="D383" s="96"/>
      <c r="E383" s="170"/>
      <c r="F383" s="293"/>
      <c r="G383" s="95"/>
      <c r="H383" s="231"/>
      <c r="I383" s="199"/>
      <c r="J383" s="80"/>
      <c r="K383" s="80"/>
      <c r="L383" s="81"/>
    </row>
    <row r="384" spans="1:12" x14ac:dyDescent="0.2">
      <c r="A384" s="106"/>
      <c r="B384" s="281" t="s">
        <v>423</v>
      </c>
      <c r="C384" s="106"/>
      <c r="D384" s="96"/>
      <c r="E384" s="170"/>
      <c r="F384" s="293"/>
      <c r="G384" s="95"/>
      <c r="H384" s="231"/>
      <c r="I384" s="199"/>
      <c r="J384" s="80"/>
      <c r="K384" s="80"/>
      <c r="L384" s="81"/>
    </row>
    <row r="385" spans="1:12" x14ac:dyDescent="0.2">
      <c r="A385" s="153"/>
      <c r="B385" s="324"/>
      <c r="C385" s="324"/>
      <c r="D385" s="324"/>
      <c r="E385" s="324"/>
      <c r="F385" s="324"/>
      <c r="G385" s="324"/>
      <c r="H385" s="231"/>
      <c r="I385" s="199"/>
      <c r="J385" s="80"/>
      <c r="K385" s="80"/>
      <c r="L385" s="81"/>
    </row>
    <row r="386" spans="1:12" x14ac:dyDescent="0.2">
      <c r="A386" s="153"/>
      <c r="B386" s="324" t="s">
        <v>560</v>
      </c>
      <c r="C386" s="324"/>
      <c r="D386" s="324"/>
      <c r="E386" s="324"/>
      <c r="F386" s="324"/>
      <c r="G386" s="324"/>
      <c r="H386" s="231"/>
      <c r="I386" s="199"/>
      <c r="J386" s="80"/>
      <c r="K386" s="80"/>
      <c r="L386" s="81"/>
    </row>
    <row r="387" spans="1:12" x14ac:dyDescent="0.2">
      <c r="A387" s="153"/>
      <c r="B387" s="324" t="s">
        <v>561</v>
      </c>
      <c r="C387" s="324"/>
      <c r="D387" s="324"/>
      <c r="E387" s="324"/>
      <c r="F387" s="324"/>
      <c r="G387" s="324"/>
      <c r="H387" s="231"/>
      <c r="I387" s="199"/>
      <c r="J387" s="80"/>
      <c r="K387" s="80"/>
      <c r="L387" s="81"/>
    </row>
    <row r="388" spans="1:12" x14ac:dyDescent="0.2">
      <c r="A388" s="153"/>
      <c r="B388" s="202" t="s">
        <v>424</v>
      </c>
      <c r="C388" s="153"/>
      <c r="D388" s="279"/>
      <c r="E388" s="155"/>
      <c r="F388" s="155"/>
      <c r="G388" s="99"/>
      <c r="H388" s="231"/>
      <c r="I388" s="199"/>
      <c r="J388" s="80"/>
      <c r="K388" s="80"/>
      <c r="L388" s="81"/>
    </row>
    <row r="389" spans="1:12" x14ac:dyDescent="0.2">
      <c r="A389" s="153"/>
      <c r="B389" s="202" t="s">
        <v>562</v>
      </c>
      <c r="C389" s="153"/>
      <c r="D389" s="279"/>
      <c r="E389" s="155"/>
      <c r="F389" s="155"/>
      <c r="G389" s="99"/>
      <c r="H389" s="231"/>
      <c r="I389" s="199"/>
      <c r="J389" s="80"/>
      <c r="K389" s="80"/>
      <c r="L389" s="81"/>
    </row>
    <row r="390" spans="1:12" x14ac:dyDescent="0.2">
      <c r="A390" s="153"/>
      <c r="B390" s="202"/>
      <c r="C390" s="153"/>
      <c r="D390" s="279"/>
      <c r="E390" s="155"/>
      <c r="F390" s="155"/>
      <c r="G390" s="99"/>
      <c r="H390" s="231"/>
      <c r="I390" s="199"/>
      <c r="J390" s="80"/>
      <c r="K390" s="80"/>
      <c r="L390" s="81"/>
    </row>
    <row r="391" spans="1:12" x14ac:dyDescent="0.2">
      <c r="A391" s="150"/>
      <c r="B391" s="278" t="s">
        <v>425</v>
      </c>
      <c r="C391" s="153"/>
      <c r="D391" s="279"/>
      <c r="E391" s="155"/>
      <c r="F391" s="155"/>
      <c r="G391" s="99"/>
      <c r="H391" s="231"/>
      <c r="I391" s="199"/>
      <c r="J391" s="80"/>
      <c r="K391" s="80"/>
      <c r="L391" s="81"/>
    </row>
    <row r="392" spans="1:12" x14ac:dyDescent="0.2">
      <c r="A392" s="153"/>
      <c r="B392" s="202" t="s">
        <v>426</v>
      </c>
      <c r="C392" s="153"/>
      <c r="D392" s="279"/>
      <c r="E392" s="155"/>
      <c r="F392" s="155"/>
      <c r="G392" s="99"/>
      <c r="H392" s="231"/>
      <c r="I392" s="199"/>
      <c r="J392" s="80"/>
      <c r="K392" s="80"/>
      <c r="L392" s="81"/>
    </row>
    <row r="393" spans="1:12" x14ac:dyDescent="0.2">
      <c r="A393" s="166"/>
      <c r="B393" s="199"/>
      <c r="G393" s="99"/>
      <c r="H393" s="231"/>
      <c r="I393" s="199"/>
      <c r="J393" s="80"/>
      <c r="K393" s="80"/>
      <c r="L393" s="81"/>
    </row>
    <row r="394" spans="1:12" x14ac:dyDescent="0.2">
      <c r="A394" s="150" t="s">
        <v>403</v>
      </c>
      <c r="B394" s="278" t="s">
        <v>440</v>
      </c>
      <c r="C394" s="153"/>
      <c r="D394" s="279"/>
      <c r="E394" s="155"/>
      <c r="F394" s="155"/>
      <c r="G394" s="99"/>
      <c r="H394" s="231"/>
      <c r="I394" s="199"/>
      <c r="J394" s="80"/>
      <c r="K394" s="80"/>
      <c r="L394" s="81"/>
    </row>
    <row r="395" spans="1:12" x14ac:dyDescent="0.2">
      <c r="B395" s="199"/>
      <c r="G395" s="99"/>
      <c r="H395" s="231"/>
      <c r="I395" s="199"/>
      <c r="J395" s="80"/>
      <c r="K395" s="80"/>
      <c r="L395" s="81"/>
    </row>
    <row r="396" spans="1:12" x14ac:dyDescent="0.2">
      <c r="A396" s="153"/>
      <c r="B396" s="280" t="s">
        <v>374</v>
      </c>
      <c r="C396" s="153"/>
      <c r="D396" s="279"/>
      <c r="E396" s="155"/>
      <c r="F396" s="155"/>
      <c r="G396" s="99"/>
      <c r="H396" s="231"/>
      <c r="I396" s="199"/>
      <c r="J396" s="80"/>
      <c r="K396" s="80"/>
      <c r="L396" s="81"/>
    </row>
    <row r="397" spans="1:12" x14ac:dyDescent="0.2">
      <c r="A397" s="153"/>
      <c r="B397" s="202" t="s">
        <v>441</v>
      </c>
      <c r="C397" s="153"/>
      <c r="D397" s="279"/>
      <c r="E397" s="155"/>
      <c r="F397" s="155"/>
      <c r="G397" s="99"/>
      <c r="H397" s="231"/>
      <c r="I397" s="199"/>
      <c r="J397" s="80"/>
      <c r="K397" s="80"/>
      <c r="L397" s="81"/>
    </row>
    <row r="398" spans="1:12" x14ac:dyDescent="0.2">
      <c r="A398" s="153"/>
      <c r="B398" s="281" t="s">
        <v>442</v>
      </c>
      <c r="C398" s="153"/>
      <c r="D398" s="279"/>
      <c r="E398" s="279"/>
      <c r="F398" s="279"/>
      <c r="G398" s="282"/>
      <c r="H398" s="231"/>
      <c r="I398" s="199"/>
      <c r="J398" s="80"/>
      <c r="K398" s="80"/>
      <c r="L398" s="81"/>
    </row>
    <row r="399" spans="1:12" x14ac:dyDescent="0.2">
      <c r="B399" s="199"/>
      <c r="G399" s="99"/>
      <c r="H399" s="231"/>
      <c r="I399" s="199"/>
      <c r="J399" s="80"/>
      <c r="K399" s="80"/>
      <c r="L399" s="81"/>
    </row>
    <row r="400" spans="1:12" x14ac:dyDescent="0.2">
      <c r="B400" s="199" t="s">
        <v>443</v>
      </c>
      <c r="G400" s="99"/>
      <c r="H400" s="231"/>
      <c r="I400" s="199"/>
      <c r="J400" s="80"/>
      <c r="K400" s="80"/>
      <c r="L400" s="81"/>
    </row>
    <row r="401" spans="1:12" x14ac:dyDescent="0.2">
      <c r="B401" s="199"/>
      <c r="G401" s="99"/>
      <c r="H401" s="231"/>
      <c r="I401" s="199"/>
      <c r="J401" s="80"/>
      <c r="K401" s="80"/>
      <c r="L401" s="81"/>
    </row>
    <row r="402" spans="1:12" x14ac:dyDescent="0.2">
      <c r="B402" s="201"/>
      <c r="H402" s="231"/>
      <c r="I402" s="199"/>
      <c r="J402" s="80"/>
      <c r="K402" s="80"/>
      <c r="L402" s="81"/>
    </row>
    <row r="403" spans="1:12" x14ac:dyDescent="0.2">
      <c r="A403" s="320" t="s">
        <v>484</v>
      </c>
      <c r="B403" s="289" t="s">
        <v>496</v>
      </c>
      <c r="C403" s="153"/>
      <c r="D403" s="279"/>
      <c r="E403" s="155"/>
      <c r="F403" s="155"/>
      <c r="G403" s="99"/>
      <c r="H403" s="231"/>
      <c r="I403" s="199"/>
      <c r="J403" s="80"/>
      <c r="K403" s="80"/>
      <c r="L403" s="81"/>
    </row>
    <row r="404" spans="1:12" x14ac:dyDescent="0.2">
      <c r="B404" s="202" t="s">
        <v>390</v>
      </c>
      <c r="C404" s="153"/>
      <c r="D404" s="279"/>
      <c r="E404" s="155"/>
      <c r="F404" s="155"/>
      <c r="G404" s="99"/>
      <c r="H404" s="231"/>
      <c r="I404" s="199"/>
      <c r="J404" s="80"/>
      <c r="K404" s="80"/>
      <c r="L404" s="81"/>
    </row>
    <row r="405" spans="1:12" x14ac:dyDescent="0.2">
      <c r="B405" s="202" t="s">
        <v>391</v>
      </c>
      <c r="C405" s="153"/>
      <c r="D405" s="279"/>
      <c r="E405" s="155"/>
      <c r="F405" s="155"/>
      <c r="G405" s="99"/>
      <c r="H405" s="231"/>
      <c r="I405" s="199"/>
      <c r="J405" s="80"/>
      <c r="K405" s="80"/>
      <c r="L405" s="81"/>
    </row>
    <row r="406" spans="1:12" x14ac:dyDescent="0.2">
      <c r="B406" s="281" t="s">
        <v>392</v>
      </c>
      <c r="C406" s="153"/>
      <c r="D406" s="279"/>
      <c r="E406" s="155"/>
      <c r="F406" s="155"/>
      <c r="G406" s="99"/>
      <c r="H406" s="231"/>
      <c r="I406" s="199"/>
      <c r="J406" s="80"/>
      <c r="K406" s="80"/>
      <c r="L406" s="81"/>
    </row>
    <row r="407" spans="1:12" x14ac:dyDescent="0.2">
      <c r="B407" s="281" t="s">
        <v>547</v>
      </c>
      <c r="C407" s="153"/>
      <c r="D407" s="279"/>
      <c r="E407" s="279"/>
      <c r="F407" s="279"/>
      <c r="G407" s="282"/>
      <c r="H407" s="231"/>
      <c r="I407" s="199"/>
      <c r="J407" s="80"/>
      <c r="K407" s="80"/>
      <c r="L407" s="81"/>
    </row>
    <row r="408" spans="1:12" ht="14.25" x14ac:dyDescent="0.3">
      <c r="B408" s="281" t="s">
        <v>548</v>
      </c>
      <c r="C408" s="153"/>
      <c r="D408" s="290"/>
      <c r="E408" s="160"/>
      <c r="F408" s="291"/>
      <c r="G408" s="292"/>
      <c r="H408" s="231"/>
      <c r="I408" s="199"/>
      <c r="J408" s="80"/>
      <c r="K408" s="80"/>
      <c r="L408" s="81"/>
    </row>
    <row r="409" spans="1:12" x14ac:dyDescent="0.2">
      <c r="B409" s="281" t="s">
        <v>549</v>
      </c>
      <c r="C409" s="153"/>
      <c r="D409" s="279"/>
      <c r="E409" s="279"/>
      <c r="F409" s="279"/>
      <c r="G409" s="99"/>
      <c r="H409" s="231"/>
      <c r="I409" s="199"/>
      <c r="J409" s="80"/>
      <c r="K409" s="80"/>
      <c r="L409" s="81"/>
    </row>
    <row r="410" spans="1:12" x14ac:dyDescent="0.2">
      <c r="B410" s="281" t="s">
        <v>485</v>
      </c>
      <c r="C410" s="106"/>
      <c r="D410" s="95"/>
      <c r="E410" s="170"/>
      <c r="F410" s="293"/>
      <c r="G410" s="95"/>
      <c r="H410" s="231"/>
      <c r="I410" s="199"/>
      <c r="J410" s="80"/>
      <c r="K410" s="80"/>
      <c r="L410" s="81"/>
    </row>
    <row r="411" spans="1:12" x14ac:dyDescent="0.2">
      <c r="B411" s="281" t="s">
        <v>486</v>
      </c>
      <c r="C411" s="106"/>
      <c r="D411" s="95"/>
      <c r="E411" s="170"/>
      <c r="F411" s="293"/>
      <c r="G411" s="95"/>
      <c r="H411" s="231"/>
      <c r="I411" s="199"/>
      <c r="J411" s="80"/>
      <c r="K411" s="80"/>
      <c r="L411" s="81"/>
    </row>
    <row r="412" spans="1:12" x14ac:dyDescent="0.2">
      <c r="B412" s="281" t="s">
        <v>388</v>
      </c>
      <c r="C412" s="106"/>
      <c r="D412" s="96"/>
      <c r="E412" s="170"/>
      <c r="F412" s="293"/>
      <c r="G412" s="95"/>
      <c r="H412" s="231"/>
      <c r="I412" s="199"/>
      <c r="J412" s="80"/>
      <c r="K412" s="80"/>
      <c r="L412" s="81"/>
    </row>
    <row r="413" spans="1:12" x14ac:dyDescent="0.2">
      <c r="B413" s="324"/>
      <c r="C413" s="324"/>
      <c r="D413" s="324"/>
      <c r="E413" s="324"/>
      <c r="F413" s="324"/>
      <c r="G413" s="324"/>
      <c r="H413" s="231"/>
      <c r="I413" s="199"/>
      <c r="J413" s="80"/>
      <c r="K413" s="80"/>
      <c r="L413" s="81"/>
    </row>
    <row r="414" spans="1:12" x14ac:dyDescent="0.2">
      <c r="B414" s="324" t="s">
        <v>563</v>
      </c>
      <c r="C414" s="324"/>
      <c r="D414" s="324"/>
      <c r="E414" s="324"/>
      <c r="F414" s="324"/>
      <c r="G414" s="324"/>
      <c r="H414" s="231"/>
      <c r="I414" s="199"/>
      <c r="J414" s="80"/>
      <c r="K414" s="80"/>
      <c r="L414" s="81"/>
    </row>
    <row r="415" spans="1:12" x14ac:dyDescent="0.2">
      <c r="B415" s="324" t="s">
        <v>555</v>
      </c>
      <c r="C415" s="324"/>
      <c r="D415" s="324"/>
      <c r="E415" s="324"/>
      <c r="F415" s="324"/>
      <c r="G415" s="324"/>
      <c r="H415" s="231"/>
      <c r="I415" s="199"/>
      <c r="J415" s="80"/>
      <c r="K415" s="80"/>
      <c r="L415" s="81"/>
    </row>
    <row r="416" spans="1:12" x14ac:dyDescent="0.2">
      <c r="B416" s="324" t="s">
        <v>556</v>
      </c>
      <c r="C416" s="324"/>
      <c r="D416" s="324"/>
      <c r="E416" s="324"/>
      <c r="F416" s="324"/>
      <c r="G416" s="324"/>
      <c r="H416" s="231"/>
      <c r="I416" s="199"/>
      <c r="J416" s="80"/>
      <c r="K416" s="80"/>
      <c r="L416" s="81"/>
    </row>
    <row r="417" spans="1:12" x14ac:dyDescent="0.2">
      <c r="B417" s="202" t="s">
        <v>487</v>
      </c>
      <c r="C417" s="153"/>
      <c r="D417" s="279"/>
      <c r="E417" s="155"/>
      <c r="F417" s="155"/>
      <c r="G417" s="99"/>
      <c r="H417" s="231"/>
      <c r="I417" s="199"/>
      <c r="J417" s="80"/>
      <c r="K417" s="80"/>
      <c r="L417" s="81"/>
    </row>
    <row r="418" spans="1:12" x14ac:dyDescent="0.2">
      <c r="B418" s="202" t="s">
        <v>488</v>
      </c>
      <c r="C418" s="153"/>
      <c r="D418" s="279"/>
      <c r="E418" s="155"/>
      <c r="F418" s="155"/>
      <c r="G418" s="99"/>
      <c r="I418" s="80"/>
      <c r="J418" s="80"/>
      <c r="K418" s="80"/>
      <c r="L418" s="81"/>
    </row>
    <row r="419" spans="1:12" x14ac:dyDescent="0.2">
      <c r="B419" s="202" t="s">
        <v>564</v>
      </c>
      <c r="C419" s="153"/>
      <c r="D419" s="279"/>
      <c r="E419" s="155"/>
      <c r="F419" s="155"/>
      <c r="G419" s="99"/>
      <c r="I419" s="80"/>
      <c r="J419" s="80"/>
      <c r="K419" s="80"/>
      <c r="L419" s="81"/>
    </row>
    <row r="420" spans="1:12" x14ac:dyDescent="0.2">
      <c r="I420" s="80"/>
      <c r="J420" s="80"/>
      <c r="K420" s="80"/>
      <c r="L420" s="81"/>
    </row>
    <row r="421" spans="1:12" x14ac:dyDescent="0.2">
      <c r="A421" s="320" t="s">
        <v>495</v>
      </c>
      <c r="B421" s="278" t="s">
        <v>494</v>
      </c>
      <c r="I421" s="80"/>
      <c r="J421" s="80"/>
      <c r="K421" s="80"/>
      <c r="L421" s="81"/>
    </row>
    <row r="422" spans="1:12" x14ac:dyDescent="0.2">
      <c r="B422" s="281" t="s">
        <v>565</v>
      </c>
      <c r="I422" s="80"/>
      <c r="J422" s="80"/>
      <c r="K422" s="80"/>
      <c r="L422" s="81"/>
    </row>
    <row r="423" spans="1:12" x14ac:dyDescent="0.2">
      <c r="B423" s="281" t="s">
        <v>497</v>
      </c>
      <c r="I423" s="80"/>
      <c r="J423" s="80"/>
      <c r="K423" s="80"/>
      <c r="L423" s="81"/>
    </row>
    <row r="424" spans="1:12" x14ac:dyDescent="0.2">
      <c r="B424" s="281" t="s">
        <v>566</v>
      </c>
      <c r="I424" s="80"/>
      <c r="J424" s="80"/>
      <c r="K424" s="80"/>
      <c r="L424" s="81"/>
    </row>
    <row r="425" spans="1:12" x14ac:dyDescent="0.2">
      <c r="B425" s="281" t="s">
        <v>498</v>
      </c>
      <c r="I425" s="80"/>
      <c r="J425" s="80"/>
      <c r="K425" s="80"/>
      <c r="L425" s="81"/>
    </row>
    <row r="426" spans="1:12" x14ac:dyDescent="0.2">
      <c r="B426" s="281" t="s">
        <v>388</v>
      </c>
      <c r="I426" s="80"/>
      <c r="J426" s="80"/>
      <c r="K426" s="80"/>
      <c r="L426" s="81"/>
    </row>
    <row r="427" spans="1:12" x14ac:dyDescent="0.2">
      <c r="B427" s="281" t="s">
        <v>499</v>
      </c>
      <c r="I427" s="80"/>
      <c r="J427" s="80"/>
      <c r="K427" s="80"/>
      <c r="L427" s="81"/>
    </row>
    <row r="428" spans="1:12" x14ac:dyDescent="0.2">
      <c r="B428" s="281" t="s">
        <v>500</v>
      </c>
      <c r="I428" s="80"/>
      <c r="J428" s="80"/>
      <c r="K428" s="80"/>
      <c r="L428" s="81"/>
    </row>
    <row r="429" spans="1:12" x14ac:dyDescent="0.2">
      <c r="B429" s="202" t="s">
        <v>501</v>
      </c>
      <c r="I429" s="80"/>
      <c r="J429" s="80"/>
      <c r="K429" s="80"/>
      <c r="L429" s="81"/>
    </row>
    <row r="430" spans="1:12" x14ac:dyDescent="0.2">
      <c r="I430" s="80"/>
      <c r="J430" s="80"/>
      <c r="K430" s="80"/>
      <c r="L430" s="81"/>
    </row>
    <row r="431" spans="1:12" x14ac:dyDescent="0.2">
      <c r="I431" s="80"/>
      <c r="J431" s="80"/>
      <c r="K431" s="80"/>
      <c r="L431" s="81"/>
    </row>
    <row r="432" spans="1:12" x14ac:dyDescent="0.2">
      <c r="I432" s="80"/>
      <c r="J432" s="80"/>
      <c r="K432" s="80"/>
      <c r="L432" s="81"/>
    </row>
    <row r="433" spans="9:12" x14ac:dyDescent="0.2">
      <c r="I433" s="80"/>
      <c r="J433" s="80"/>
      <c r="K433" s="80"/>
      <c r="L433" s="81"/>
    </row>
    <row r="434" spans="9:12" x14ac:dyDescent="0.2">
      <c r="I434" s="80"/>
      <c r="J434" s="80"/>
      <c r="K434" s="80"/>
      <c r="L434" s="81"/>
    </row>
    <row r="435" spans="9:12" x14ac:dyDescent="0.2">
      <c r="I435" s="80"/>
      <c r="J435" s="80"/>
      <c r="K435" s="80"/>
      <c r="L435" s="81"/>
    </row>
    <row r="436" spans="9:12" x14ac:dyDescent="0.2">
      <c r="I436" s="80"/>
      <c r="J436" s="80"/>
      <c r="K436" s="80"/>
      <c r="L436" s="81"/>
    </row>
    <row r="437" spans="9:12" x14ac:dyDescent="0.2">
      <c r="I437" s="80"/>
      <c r="J437" s="80"/>
      <c r="K437" s="80"/>
      <c r="L437" s="81"/>
    </row>
    <row r="438" spans="9:12" x14ac:dyDescent="0.2">
      <c r="I438" s="80"/>
      <c r="J438" s="80"/>
      <c r="K438" s="80"/>
      <c r="L438" s="81"/>
    </row>
    <row r="439" spans="9:12" x14ac:dyDescent="0.2">
      <c r="I439" s="80"/>
      <c r="J439" s="80"/>
      <c r="K439" s="80"/>
      <c r="L439" s="81"/>
    </row>
    <row r="440" spans="9:12" x14ac:dyDescent="0.2">
      <c r="I440" s="80"/>
      <c r="J440" s="80"/>
      <c r="K440" s="80"/>
      <c r="L440" s="81"/>
    </row>
    <row r="441" spans="9:12" x14ac:dyDescent="0.2">
      <c r="I441" s="80"/>
      <c r="J441" s="80"/>
      <c r="K441" s="80"/>
      <c r="L441" s="81"/>
    </row>
    <row r="442" spans="9:12" x14ac:dyDescent="0.2">
      <c r="I442" s="80"/>
      <c r="J442" s="80"/>
      <c r="K442" s="80"/>
      <c r="L442" s="81"/>
    </row>
    <row r="443" spans="9:12" x14ac:dyDescent="0.2">
      <c r="I443" s="80"/>
      <c r="J443" s="80"/>
      <c r="K443" s="80"/>
      <c r="L443" s="81"/>
    </row>
    <row r="444" spans="9:12" x14ac:dyDescent="0.2">
      <c r="I444" s="80"/>
      <c r="J444" s="80"/>
      <c r="K444" s="80"/>
      <c r="L444" s="81"/>
    </row>
    <row r="445" spans="9:12" x14ac:dyDescent="0.2">
      <c r="I445" s="80"/>
      <c r="J445" s="80"/>
      <c r="K445" s="80"/>
      <c r="L445" s="81"/>
    </row>
    <row r="446" spans="9:12" x14ac:dyDescent="0.2">
      <c r="I446" s="80"/>
      <c r="J446" s="80"/>
      <c r="K446" s="80"/>
      <c r="L446" s="81"/>
    </row>
    <row r="447" spans="9:12" x14ac:dyDescent="0.2">
      <c r="I447" s="80"/>
      <c r="J447" s="80"/>
      <c r="K447" s="80"/>
      <c r="L447" s="81"/>
    </row>
    <row r="448" spans="9:12" x14ac:dyDescent="0.2">
      <c r="I448" s="80"/>
      <c r="J448" s="80"/>
      <c r="K448" s="80"/>
      <c r="L448" s="81"/>
    </row>
    <row r="449" spans="9:12" x14ac:dyDescent="0.2">
      <c r="I449" s="80"/>
      <c r="J449" s="80"/>
      <c r="K449" s="80"/>
      <c r="L449" s="81"/>
    </row>
    <row r="450" spans="9:12" x14ac:dyDescent="0.2">
      <c r="I450" s="80"/>
      <c r="J450" s="80"/>
      <c r="K450" s="80"/>
      <c r="L450" s="81"/>
    </row>
    <row r="451" spans="9:12" x14ac:dyDescent="0.2">
      <c r="I451" s="80"/>
      <c r="J451" s="80"/>
      <c r="K451" s="80"/>
      <c r="L451" s="81"/>
    </row>
    <row r="452" spans="9:12" x14ac:dyDescent="0.2">
      <c r="I452" s="80"/>
      <c r="J452" s="80"/>
      <c r="K452" s="80"/>
      <c r="L452" s="81"/>
    </row>
    <row r="453" spans="9:12" x14ac:dyDescent="0.2">
      <c r="I453" s="80"/>
      <c r="J453" s="80"/>
      <c r="K453" s="80"/>
      <c r="L453" s="81"/>
    </row>
    <row r="454" spans="9:12" x14ac:dyDescent="0.2">
      <c r="I454" s="80"/>
      <c r="J454" s="80"/>
      <c r="K454" s="80"/>
      <c r="L454" s="81"/>
    </row>
    <row r="455" spans="9:12" x14ac:dyDescent="0.2">
      <c r="I455" s="80"/>
      <c r="J455" s="80"/>
      <c r="K455" s="80"/>
      <c r="L455" s="81"/>
    </row>
    <row r="456" spans="9:12" x14ac:dyDescent="0.2">
      <c r="I456" s="80"/>
      <c r="J456" s="80"/>
      <c r="K456" s="80"/>
      <c r="L456" s="81"/>
    </row>
    <row r="457" spans="9:12" x14ac:dyDescent="0.2">
      <c r="I457" s="80"/>
      <c r="J457" s="80"/>
      <c r="K457" s="80"/>
      <c r="L457" s="81"/>
    </row>
    <row r="458" spans="9:12" x14ac:dyDescent="0.2">
      <c r="I458" s="80"/>
      <c r="J458" s="80"/>
      <c r="K458" s="80"/>
      <c r="L458" s="81"/>
    </row>
    <row r="459" spans="9:12" x14ac:dyDescent="0.2">
      <c r="I459" s="80"/>
      <c r="J459" s="80"/>
      <c r="K459" s="80"/>
      <c r="L459" s="81"/>
    </row>
    <row r="460" spans="9:12" x14ac:dyDescent="0.2">
      <c r="I460" s="80"/>
      <c r="J460" s="80"/>
      <c r="K460" s="80"/>
      <c r="L460" s="81"/>
    </row>
    <row r="461" spans="9:12" x14ac:dyDescent="0.2">
      <c r="I461" s="80"/>
      <c r="J461" s="80"/>
      <c r="K461" s="80"/>
      <c r="L461" s="81"/>
    </row>
    <row r="462" spans="9:12" x14ac:dyDescent="0.2">
      <c r="I462" s="80"/>
      <c r="J462" s="80"/>
      <c r="K462" s="80"/>
      <c r="L462" s="81"/>
    </row>
    <row r="463" spans="9:12" x14ac:dyDescent="0.2">
      <c r="I463" s="80"/>
      <c r="J463" s="80"/>
      <c r="K463" s="80"/>
      <c r="L463" s="81"/>
    </row>
    <row r="464" spans="9:12" x14ac:dyDescent="0.2">
      <c r="I464" s="80"/>
      <c r="J464" s="80"/>
      <c r="K464" s="80"/>
      <c r="L464" s="81"/>
    </row>
    <row r="465" spans="9:12" x14ac:dyDescent="0.2">
      <c r="I465" s="80"/>
      <c r="J465" s="80"/>
      <c r="K465" s="80"/>
      <c r="L465" s="81"/>
    </row>
    <row r="466" spans="9:12" x14ac:dyDescent="0.2">
      <c r="I466" s="80"/>
      <c r="J466" s="80"/>
      <c r="K466" s="80"/>
      <c r="L466" s="81"/>
    </row>
    <row r="467" spans="9:12" x14ac:dyDescent="0.2">
      <c r="I467" s="80"/>
      <c r="J467" s="80"/>
      <c r="K467" s="80"/>
      <c r="L467" s="81"/>
    </row>
    <row r="468" spans="9:12" x14ac:dyDescent="0.2">
      <c r="I468" s="80"/>
      <c r="J468" s="80"/>
      <c r="K468" s="80"/>
      <c r="L468" s="81"/>
    </row>
    <row r="469" spans="9:12" x14ac:dyDescent="0.2">
      <c r="I469" s="80"/>
      <c r="J469" s="80"/>
      <c r="K469" s="80"/>
      <c r="L469" s="81"/>
    </row>
    <row r="470" spans="9:12" x14ac:dyDescent="0.2">
      <c r="I470" s="80"/>
      <c r="J470" s="80"/>
      <c r="K470" s="80"/>
      <c r="L470" s="81"/>
    </row>
  </sheetData>
  <mergeCells count="27">
    <mergeCell ref="A220:G220"/>
    <mergeCell ref="B345:G345"/>
    <mergeCell ref="B346:G346"/>
    <mergeCell ref="B347:G347"/>
    <mergeCell ref="B326:G326"/>
    <mergeCell ref="B327:G327"/>
    <mergeCell ref="B328:G328"/>
    <mergeCell ref="B329:G329"/>
    <mergeCell ref="B344:G344"/>
    <mergeCell ref="B273:G273"/>
    <mergeCell ref="B285:G285"/>
    <mergeCell ref="B286:G286"/>
    <mergeCell ref="B287:G287"/>
    <mergeCell ref="B288:G288"/>
    <mergeCell ref="L8:L9"/>
    <mergeCell ref="A4:G4"/>
    <mergeCell ref="A8:A9"/>
    <mergeCell ref="B8:B9"/>
    <mergeCell ref="C8:C9"/>
    <mergeCell ref="D8:D9"/>
    <mergeCell ref="B413:G413"/>
    <mergeCell ref="B414:G414"/>
    <mergeCell ref="B415:G415"/>
    <mergeCell ref="B416:G416"/>
    <mergeCell ref="B385:G385"/>
    <mergeCell ref="B386:G386"/>
    <mergeCell ref="B387:G387"/>
  </mergeCells>
  <phoneticPr fontId="0" type="noConversion"/>
  <pageMargins left="0.62992125984251968" right="0.59055118110236215" top="2.3228346456692912" bottom="0.11811023622047244" header="0.31496062992125984" footer="0.31496062992125984"/>
  <pageSetup paperSize="9" scale="68" fitToHeight="0" orientation="portrait" verticalDpi="300" r:id="rId1"/>
  <headerFooter alignWithMargins="0">
    <oddFooter>Página &amp;P de &amp;N</oddFooter>
  </headerFooter>
  <rowBreaks count="2" manualBreakCount="2">
    <brk id="96" max="6" man="1"/>
    <brk id="17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O55"/>
  <sheetViews>
    <sheetView showGridLines="0" view="pageBreakPreview" zoomScale="115" zoomScaleSheetLayoutView="115" workbookViewId="0">
      <selection activeCell="Q17" sqref="Q17"/>
    </sheetView>
  </sheetViews>
  <sheetFormatPr defaultRowHeight="12.75" x14ac:dyDescent="0.2"/>
  <cols>
    <col min="1" max="1" width="6.5703125" style="9" customWidth="1"/>
    <col min="2" max="2" width="38.7109375" style="7" customWidth="1"/>
    <col min="3" max="3" width="14.7109375" style="7" customWidth="1"/>
    <col min="4" max="4" width="7.28515625" style="7" bestFit="1" customWidth="1"/>
    <col min="5" max="5" width="9.85546875" style="7" bestFit="1" customWidth="1"/>
    <col min="6" max="6" width="6.140625" style="33" customWidth="1"/>
    <col min="7" max="7" width="10" style="7" bestFit="1" customWidth="1"/>
    <col min="8" max="8" width="5.28515625" style="33" bestFit="1" customWidth="1"/>
    <col min="9" max="9" width="10" style="7" bestFit="1" customWidth="1"/>
    <col min="10" max="10" width="5.5703125" style="33" customWidth="1"/>
    <col min="11" max="11" width="11.140625" style="33" customWidth="1"/>
    <col min="12" max="12" width="5.5703125" style="33" customWidth="1"/>
    <col min="13" max="13" width="9.85546875" style="7" bestFit="1" customWidth="1"/>
    <col min="14" max="14" width="6.28515625" style="7" customWidth="1"/>
    <col min="15" max="16384" width="9.140625" style="7"/>
  </cols>
  <sheetData>
    <row r="1" spans="1:14" ht="15.75" customHeight="1" x14ac:dyDescent="0.3">
      <c r="A1" s="18" t="str">
        <f>ORCA!A1</f>
        <v>PREFEITURA MUNICIPAL DE TIMBÓ</v>
      </c>
      <c r="B1" s="17"/>
      <c r="C1" s="8"/>
      <c r="D1" s="1"/>
      <c r="E1" s="1"/>
      <c r="F1" s="34"/>
      <c r="I1" s="1"/>
      <c r="J1" s="34"/>
      <c r="K1" s="34"/>
      <c r="L1" s="34"/>
    </row>
    <row r="2" spans="1:14" x14ac:dyDescent="0.2">
      <c r="A2" s="313" t="str">
        <f>ORCA!A2</f>
        <v>SECRETARIA DE PLANEJAMENTO, TRÂNSITO, MEIO AMBIENTE, INDÚSTRIA, COMÉRCIO E SERVIÇOS</v>
      </c>
      <c r="B2" s="313"/>
      <c r="C2" s="313"/>
      <c r="D2" s="313"/>
      <c r="E2" s="313"/>
      <c r="F2" s="313"/>
      <c r="G2" s="313"/>
      <c r="H2" s="34"/>
      <c r="I2" s="1"/>
      <c r="J2" s="34"/>
      <c r="K2" s="34"/>
      <c r="L2" s="34"/>
    </row>
    <row r="3" spans="1:14" x14ac:dyDescent="0.2">
      <c r="A3" s="335" t="s">
        <v>20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7"/>
    </row>
    <row r="4" spans="1:14" x14ac:dyDescent="0.2">
      <c r="A4" s="39" t="str">
        <f>ORCA!A5</f>
        <v xml:space="preserve">PROJETO : </v>
      </c>
      <c r="B4" s="49" t="str">
        <f>ORCA!B5</f>
        <v>CAFETERIA DO PARQUE CENTRAL</v>
      </c>
      <c r="C4" s="41"/>
      <c r="D4" s="41"/>
      <c r="E4" s="40"/>
      <c r="F4" s="58"/>
      <c r="G4" s="42"/>
      <c r="H4" s="57"/>
      <c r="I4" s="64" t="s">
        <v>519</v>
      </c>
      <c r="J4" s="54"/>
      <c r="K4" s="54"/>
      <c r="L4" s="54"/>
      <c r="M4" s="43"/>
      <c r="N4" s="44"/>
    </row>
    <row r="5" spans="1:14" x14ac:dyDescent="0.2">
      <c r="A5" s="67"/>
      <c r="B5" s="68"/>
      <c r="C5" s="46"/>
      <c r="D5" s="69"/>
      <c r="E5" s="70"/>
      <c r="F5" s="47"/>
      <c r="G5" s="71"/>
      <c r="H5" s="72"/>
      <c r="I5" s="46"/>
      <c r="J5" s="73"/>
      <c r="K5" s="73"/>
      <c r="L5" s="73"/>
      <c r="M5" s="45"/>
      <c r="N5" s="48"/>
    </row>
    <row r="6" spans="1:14" s="12" customFormat="1" x14ac:dyDescent="0.2">
      <c r="A6" s="340" t="s">
        <v>0</v>
      </c>
      <c r="B6" s="342" t="s">
        <v>21</v>
      </c>
      <c r="C6" s="65" t="s">
        <v>30</v>
      </c>
      <c r="D6" s="344" t="s">
        <v>26</v>
      </c>
      <c r="E6" s="338" t="s">
        <v>38</v>
      </c>
      <c r="F6" s="339"/>
      <c r="G6" s="338" t="s">
        <v>39</v>
      </c>
      <c r="H6" s="339"/>
      <c r="I6" s="338" t="s">
        <v>40</v>
      </c>
      <c r="J6" s="339"/>
      <c r="K6" s="338" t="s">
        <v>348</v>
      </c>
      <c r="L6" s="339"/>
      <c r="M6" s="66" t="s">
        <v>30</v>
      </c>
      <c r="N6" s="65" t="s">
        <v>26</v>
      </c>
    </row>
    <row r="7" spans="1:14" s="12" customFormat="1" ht="13.5" thickBot="1" x14ac:dyDescent="0.25">
      <c r="A7" s="341"/>
      <c r="B7" s="343"/>
      <c r="C7" s="13" t="s">
        <v>10</v>
      </c>
      <c r="D7" s="345"/>
      <c r="E7" s="19" t="s">
        <v>22</v>
      </c>
      <c r="F7" s="28" t="s">
        <v>26</v>
      </c>
      <c r="G7" s="19" t="s">
        <v>23</v>
      </c>
      <c r="H7" s="28" t="s">
        <v>26</v>
      </c>
      <c r="I7" s="19" t="s">
        <v>24</v>
      </c>
      <c r="J7" s="28" t="s">
        <v>26</v>
      </c>
      <c r="K7" s="19" t="s">
        <v>349</v>
      </c>
      <c r="L7" s="270" t="s">
        <v>26</v>
      </c>
      <c r="M7" s="20" t="s">
        <v>10</v>
      </c>
      <c r="N7" s="13" t="s">
        <v>10</v>
      </c>
    </row>
    <row r="8" spans="1:14" ht="13.5" thickTop="1" x14ac:dyDescent="0.2">
      <c r="A8" s="59">
        <v>1</v>
      </c>
      <c r="B8" s="10" t="str">
        <f>ORCA!B10</f>
        <v>SERVIÇOS INICIAIS</v>
      </c>
      <c r="C8" s="10">
        <f>ORCA!G16</f>
        <v>8506.65</v>
      </c>
      <c r="D8" s="11">
        <f t="shared" ref="D8:D25" si="0">SUM(C8*100%/$C$26)</f>
        <v>4.7842461962918574E-2</v>
      </c>
      <c r="E8" s="23">
        <f>SUM($C$8*F8)</f>
        <v>8506.65</v>
      </c>
      <c r="F8" s="29">
        <v>1</v>
      </c>
      <c r="G8" s="23">
        <f>SUM($C$8*H8)</f>
        <v>0</v>
      </c>
      <c r="H8" s="29"/>
      <c r="I8" s="23">
        <f>SUM($C$8*J8)</f>
        <v>0</v>
      </c>
      <c r="J8" s="29"/>
      <c r="K8" s="23">
        <f>SUM(C8*L8)</f>
        <v>0</v>
      </c>
      <c r="L8" s="29"/>
      <c r="M8" s="36">
        <f>E8+G8+I8+K8</f>
        <v>8506.65</v>
      </c>
      <c r="N8" s="37">
        <f>F8+H8+J8+L8</f>
        <v>1</v>
      </c>
    </row>
    <row r="9" spans="1:14" x14ac:dyDescent="0.2">
      <c r="A9" s="59">
        <v>2</v>
      </c>
      <c r="B9" s="10" t="str">
        <f>ORCA!B17</f>
        <v>RETIRADAS / DEMOLICÕES</v>
      </c>
      <c r="C9" s="10">
        <f>ORCA!G20</f>
        <v>129.14999999999998</v>
      </c>
      <c r="D9" s="11">
        <f t="shared" si="0"/>
        <v>7.2635572904856005E-4</v>
      </c>
      <c r="E9" s="23">
        <f>SUM($C$9*F9)</f>
        <v>129.14999999999998</v>
      </c>
      <c r="F9" s="29">
        <v>1</v>
      </c>
      <c r="G9" s="23">
        <f>SUM($C$9*H9)</f>
        <v>0</v>
      </c>
      <c r="H9" s="29"/>
      <c r="I9" s="23">
        <f>SUM($C$9*J9)</f>
        <v>0</v>
      </c>
      <c r="J9" s="29"/>
      <c r="K9" s="23">
        <f t="shared" ref="K9:K25" si="1">SUM(C9*L9)</f>
        <v>0</v>
      </c>
      <c r="L9" s="29"/>
      <c r="M9" s="36">
        <f t="shared" ref="M9:M25" si="2">E9+G9+I9+K9</f>
        <v>129.14999999999998</v>
      </c>
      <c r="N9" s="37">
        <f t="shared" ref="N9:N25" si="3">F9+H9+J9+L9</f>
        <v>1</v>
      </c>
    </row>
    <row r="10" spans="1:14" x14ac:dyDescent="0.2">
      <c r="A10" s="59">
        <v>3</v>
      </c>
      <c r="B10" s="10" t="str">
        <f>ORCA!B21</f>
        <v>MOVIMENTAÇÃO DE TERRA</v>
      </c>
      <c r="C10" s="10">
        <f>ORCA!G32</f>
        <v>665.01</v>
      </c>
      <c r="D10" s="11">
        <f t="shared" si="0"/>
        <v>3.7400992905503908E-3</v>
      </c>
      <c r="E10" s="23">
        <f>SUM($C$10*F10)</f>
        <v>465.50699999999995</v>
      </c>
      <c r="F10" s="29">
        <v>0.7</v>
      </c>
      <c r="G10" s="23">
        <f>SUM($C$10*H10)</f>
        <v>199.50299999999999</v>
      </c>
      <c r="H10" s="29">
        <v>0.3</v>
      </c>
      <c r="I10" s="23">
        <f>SUM($C$10*J10)</f>
        <v>0</v>
      </c>
      <c r="J10" s="29"/>
      <c r="K10" s="23">
        <f t="shared" si="1"/>
        <v>0</v>
      </c>
      <c r="L10" s="29"/>
      <c r="M10" s="36">
        <f t="shared" si="2"/>
        <v>665.01</v>
      </c>
      <c r="N10" s="37">
        <f t="shared" si="3"/>
        <v>1</v>
      </c>
    </row>
    <row r="11" spans="1:14" x14ac:dyDescent="0.2">
      <c r="A11" s="59">
        <v>4</v>
      </c>
      <c r="B11" s="10" t="str">
        <f>ORCA!B33</f>
        <v>INFRAESTRUTURA</v>
      </c>
      <c r="C11" s="10">
        <f>ORCA!G41</f>
        <v>17961.34</v>
      </c>
      <c r="D11" s="11">
        <f t="shared" si="0"/>
        <v>0.1010168192829196</v>
      </c>
      <c r="E11" s="23">
        <f>SUM($C$11*F11)</f>
        <v>14369.072</v>
      </c>
      <c r="F11" s="29">
        <v>0.8</v>
      </c>
      <c r="G11" s="23">
        <f>SUM($C$11*H11)</f>
        <v>3592.268</v>
      </c>
      <c r="H11" s="29">
        <v>0.2</v>
      </c>
      <c r="I11" s="23">
        <f>SUM($C$11*J11)</f>
        <v>0</v>
      </c>
      <c r="J11" s="29"/>
      <c r="K11" s="23">
        <f t="shared" si="1"/>
        <v>0</v>
      </c>
      <c r="L11" s="29"/>
      <c r="M11" s="36">
        <f t="shared" si="2"/>
        <v>17961.34</v>
      </c>
      <c r="N11" s="37">
        <f t="shared" si="3"/>
        <v>1</v>
      </c>
    </row>
    <row r="12" spans="1:14" x14ac:dyDescent="0.2">
      <c r="A12" s="59">
        <v>5</v>
      </c>
      <c r="B12" s="10" t="str">
        <f>ORCA!B42</f>
        <v>SUPRA-ESTRUTURA</v>
      </c>
      <c r="C12" s="10">
        <f>ORCA!G58</f>
        <v>27953.47</v>
      </c>
      <c r="D12" s="11">
        <f t="shared" si="0"/>
        <v>0.15721380628174259</v>
      </c>
      <c r="E12" s="23">
        <f>SUM($C$12*F12)</f>
        <v>0</v>
      </c>
      <c r="F12" s="29"/>
      <c r="G12" s="23">
        <f>SUM($C$12*H12)</f>
        <v>16772.081999999999</v>
      </c>
      <c r="H12" s="29">
        <v>0.6</v>
      </c>
      <c r="I12" s="23">
        <f>SUM($C$12*J12)</f>
        <v>11181.388000000001</v>
      </c>
      <c r="J12" s="29">
        <v>0.4</v>
      </c>
      <c r="K12" s="23">
        <f t="shared" si="1"/>
        <v>0</v>
      </c>
      <c r="L12" s="29"/>
      <c r="M12" s="36">
        <f t="shared" si="2"/>
        <v>27953.47</v>
      </c>
      <c r="N12" s="37">
        <f t="shared" si="3"/>
        <v>1</v>
      </c>
    </row>
    <row r="13" spans="1:14" x14ac:dyDescent="0.2">
      <c r="A13" s="59">
        <v>6</v>
      </c>
      <c r="B13" s="10" t="str">
        <f>ORCA!B59</f>
        <v>IMPERMEABILIZAÇÕES</v>
      </c>
      <c r="C13" s="10">
        <f>ORCA!G61</f>
        <v>3832.45</v>
      </c>
      <c r="D13" s="11">
        <f t="shared" si="0"/>
        <v>2.155417741999345E-2</v>
      </c>
      <c r="E13" s="23">
        <f>SUM($C$13*F13)</f>
        <v>3832.45</v>
      </c>
      <c r="F13" s="29">
        <v>1</v>
      </c>
      <c r="G13" s="23">
        <f>SUM($C$13*H13)</f>
        <v>0</v>
      </c>
      <c r="H13" s="29"/>
      <c r="I13" s="23">
        <f>SUM($C$13*J13)</f>
        <v>0</v>
      </c>
      <c r="J13" s="29"/>
      <c r="K13" s="23">
        <f t="shared" si="1"/>
        <v>0</v>
      </c>
      <c r="L13" s="29"/>
      <c r="M13" s="36">
        <f t="shared" si="2"/>
        <v>3832.45</v>
      </c>
      <c r="N13" s="37">
        <f t="shared" si="3"/>
        <v>1</v>
      </c>
    </row>
    <row r="14" spans="1:14" x14ac:dyDescent="0.2">
      <c r="A14" s="59">
        <v>7</v>
      </c>
      <c r="B14" s="10" t="str">
        <f>ORCA!B62</f>
        <v>PAREDES E PAINÉIS</v>
      </c>
      <c r="C14" s="10">
        <f>ORCA!G70</f>
        <v>26755.39</v>
      </c>
      <c r="D14" s="11">
        <f t="shared" si="0"/>
        <v>0.15047565473812277</v>
      </c>
      <c r="E14" s="23">
        <f>SUM($C$14*F14)</f>
        <v>0</v>
      </c>
      <c r="F14" s="29"/>
      <c r="G14" s="23">
        <f>SUM($C$14*H14)</f>
        <v>13377.695</v>
      </c>
      <c r="H14" s="29">
        <v>0.5</v>
      </c>
      <c r="I14" s="23">
        <f>SUM($C$14*J14)</f>
        <v>8026.6169999999993</v>
      </c>
      <c r="J14" s="29">
        <v>0.3</v>
      </c>
      <c r="K14" s="23">
        <f t="shared" si="1"/>
        <v>5351.0780000000004</v>
      </c>
      <c r="L14" s="29">
        <v>0.2</v>
      </c>
      <c r="M14" s="36">
        <f t="shared" si="2"/>
        <v>26755.39</v>
      </c>
      <c r="N14" s="37">
        <f t="shared" si="3"/>
        <v>1</v>
      </c>
    </row>
    <row r="15" spans="1:14" x14ac:dyDescent="0.2">
      <c r="A15" s="59">
        <v>8</v>
      </c>
      <c r="B15" s="10" t="str">
        <f>ORCA!B71</f>
        <v>COBERTURA E PROTEÇÕES</v>
      </c>
      <c r="C15" s="10">
        <f>ORCA!G87</f>
        <v>42914.780000000006</v>
      </c>
      <c r="D15" s="11">
        <f t="shared" si="0"/>
        <v>0.24135808218241248</v>
      </c>
      <c r="E15" s="23">
        <f>SUM($C$15*F15)</f>
        <v>0</v>
      </c>
      <c r="F15" s="29"/>
      <c r="G15" s="23">
        <f>SUM($C$15*H15)</f>
        <v>0</v>
      </c>
      <c r="H15" s="29"/>
      <c r="I15" s="23">
        <f>SUM($C$15*J15)</f>
        <v>21457.390000000003</v>
      </c>
      <c r="J15" s="29">
        <v>0.5</v>
      </c>
      <c r="K15" s="23">
        <f t="shared" si="1"/>
        <v>21457.390000000003</v>
      </c>
      <c r="L15" s="29">
        <v>0.5</v>
      </c>
      <c r="M15" s="36">
        <f t="shared" si="2"/>
        <v>42914.780000000006</v>
      </c>
      <c r="N15" s="37">
        <f t="shared" si="3"/>
        <v>1</v>
      </c>
    </row>
    <row r="16" spans="1:14" x14ac:dyDescent="0.2">
      <c r="A16" s="59">
        <v>9</v>
      </c>
      <c r="B16" s="10" t="str">
        <f>ORCA!B88</f>
        <v>ESQUADRIAS</v>
      </c>
      <c r="C16" s="10">
        <f>ORCA!G96</f>
        <v>12615.009999999998</v>
      </c>
      <c r="D16" s="11">
        <f t="shared" si="0"/>
        <v>7.0948391680254561E-2</v>
      </c>
      <c r="E16" s="23">
        <f>SUM($C$16*F16)</f>
        <v>0</v>
      </c>
      <c r="F16" s="29"/>
      <c r="G16" s="23">
        <f>SUM($C$16*H16)</f>
        <v>10092.008</v>
      </c>
      <c r="H16" s="29">
        <v>0.8</v>
      </c>
      <c r="I16" s="23">
        <f>SUM($C$16*J16)</f>
        <v>2523.002</v>
      </c>
      <c r="J16" s="29">
        <v>0.2</v>
      </c>
      <c r="K16" s="23">
        <f t="shared" si="1"/>
        <v>0</v>
      </c>
      <c r="L16" s="29"/>
      <c r="M16" s="36">
        <f t="shared" si="2"/>
        <v>12615.01</v>
      </c>
      <c r="N16" s="37">
        <f t="shared" si="3"/>
        <v>1</v>
      </c>
    </row>
    <row r="17" spans="1:15" x14ac:dyDescent="0.2">
      <c r="A17" s="59">
        <v>10</v>
      </c>
      <c r="B17" s="10" t="str">
        <f>ORCA!B97</f>
        <v>PINTURA</v>
      </c>
      <c r="C17" s="10">
        <f>ORCA!G100</f>
        <v>5124.9799999999996</v>
      </c>
      <c r="D17" s="11">
        <f t="shared" si="0"/>
        <v>2.8823527559111804E-2</v>
      </c>
      <c r="E17" s="23">
        <f>SUM($C$17*F17)</f>
        <v>0</v>
      </c>
      <c r="F17" s="29"/>
      <c r="G17" s="23">
        <f>SUM($C$17*H17)</f>
        <v>0</v>
      </c>
      <c r="H17" s="29"/>
      <c r="I17" s="23">
        <f>SUM($C$17*J17)</f>
        <v>1024.9959999999999</v>
      </c>
      <c r="J17" s="29">
        <v>0.2</v>
      </c>
      <c r="K17" s="23">
        <f t="shared" si="1"/>
        <v>4099.9839999999995</v>
      </c>
      <c r="L17" s="29">
        <v>0.8</v>
      </c>
      <c r="M17" s="36">
        <f t="shared" si="2"/>
        <v>5124.9799999999996</v>
      </c>
      <c r="N17" s="37">
        <f t="shared" si="3"/>
        <v>1</v>
      </c>
    </row>
    <row r="18" spans="1:15" x14ac:dyDescent="0.2">
      <c r="A18" s="59">
        <v>11</v>
      </c>
      <c r="B18" s="10" t="str">
        <f>ORCA!B101</f>
        <v>DRENAGEM PLUVIAL</v>
      </c>
      <c r="C18" s="10">
        <f>ORCA!G105</f>
        <v>4746.05</v>
      </c>
      <c r="D18" s="11">
        <f t="shared" si="0"/>
        <v>2.6692377915996275E-2</v>
      </c>
      <c r="E18" s="23">
        <f>SUM($C$18*F18)</f>
        <v>0</v>
      </c>
      <c r="F18" s="29"/>
      <c r="G18" s="23">
        <f>SUM($C$18*H18)</f>
        <v>0</v>
      </c>
      <c r="H18" s="29"/>
      <c r="I18" s="23">
        <f>SUM($C$18*J18)</f>
        <v>1423.8150000000001</v>
      </c>
      <c r="J18" s="29">
        <v>0.3</v>
      </c>
      <c r="K18" s="23">
        <f t="shared" si="1"/>
        <v>3322.2350000000001</v>
      </c>
      <c r="L18" s="29">
        <v>0.7</v>
      </c>
      <c r="M18" s="36">
        <f t="shared" si="2"/>
        <v>4746.05</v>
      </c>
      <c r="N18" s="37">
        <f t="shared" si="3"/>
        <v>1</v>
      </c>
    </row>
    <row r="19" spans="1:15" x14ac:dyDescent="0.2">
      <c r="A19" s="59">
        <v>12</v>
      </c>
      <c r="B19" s="10" t="str">
        <f>ORCA!B106</f>
        <v>INST.  ELÉTRICAS</v>
      </c>
      <c r="C19" s="10">
        <f>ORCA!G142</f>
        <v>0</v>
      </c>
      <c r="D19" s="11">
        <f t="shared" si="0"/>
        <v>0</v>
      </c>
      <c r="E19" s="23">
        <f>SUM($C$19*F19)</f>
        <v>0</v>
      </c>
      <c r="F19" s="29"/>
      <c r="G19" s="23">
        <f>SUM($C$19*H19)</f>
        <v>0</v>
      </c>
      <c r="H19" s="29">
        <v>0.6</v>
      </c>
      <c r="I19" s="23">
        <f>SUM($C$19*J19)</f>
        <v>0</v>
      </c>
      <c r="J19" s="29">
        <v>0.4</v>
      </c>
      <c r="K19" s="23">
        <f t="shared" si="1"/>
        <v>0</v>
      </c>
      <c r="L19" s="29"/>
      <c r="M19" s="36">
        <f t="shared" si="2"/>
        <v>0</v>
      </c>
      <c r="N19" s="37">
        <f t="shared" si="3"/>
        <v>1</v>
      </c>
    </row>
    <row r="20" spans="1:15" x14ac:dyDescent="0.2">
      <c r="A20" s="59">
        <v>13</v>
      </c>
      <c r="B20" s="10" t="str">
        <f>ORCA!B143</f>
        <v>PREVENTIVO CONTRA INCÊNDIO</v>
      </c>
      <c r="C20" s="10">
        <f>ORCA!G149</f>
        <v>1520.58</v>
      </c>
      <c r="D20" s="11">
        <f t="shared" si="0"/>
        <v>8.5519318194089006E-3</v>
      </c>
      <c r="E20" s="23">
        <f>SUM($C$20*F20)</f>
        <v>0</v>
      </c>
      <c r="F20" s="29"/>
      <c r="G20" s="23">
        <f>SUM($C$20*H20)</f>
        <v>608.23199999999997</v>
      </c>
      <c r="H20" s="29">
        <v>0.4</v>
      </c>
      <c r="I20" s="23">
        <f>SUM($C$20*J20)</f>
        <v>912.34799999999996</v>
      </c>
      <c r="J20" s="29">
        <v>0.6</v>
      </c>
      <c r="K20" s="23">
        <f t="shared" si="1"/>
        <v>0</v>
      </c>
      <c r="L20" s="29"/>
      <c r="M20" s="36">
        <f t="shared" si="2"/>
        <v>1520.58</v>
      </c>
      <c r="N20" s="37">
        <f t="shared" si="3"/>
        <v>1</v>
      </c>
    </row>
    <row r="21" spans="1:15" x14ac:dyDescent="0.2">
      <c r="A21" s="59">
        <v>14</v>
      </c>
      <c r="B21" s="10" t="str">
        <f>ORCA!B150</f>
        <v>EQUIPAMENTOS E APARELHOS</v>
      </c>
      <c r="C21" s="10">
        <f>ORCA!G160</f>
        <v>4106.7299999999996</v>
      </c>
      <c r="D21" s="11">
        <f t="shared" si="0"/>
        <v>2.3096762393771529E-2</v>
      </c>
      <c r="E21" s="23">
        <f>SUM($C$21*F21)</f>
        <v>0</v>
      </c>
      <c r="F21" s="29"/>
      <c r="G21" s="23">
        <f>SUM($C$21*H21)</f>
        <v>0</v>
      </c>
      <c r="H21" s="29"/>
      <c r="I21" s="23">
        <f>SUM($C$21*J21)</f>
        <v>0</v>
      </c>
      <c r="J21" s="29"/>
      <c r="K21" s="23">
        <f t="shared" si="1"/>
        <v>4106.7299999999996</v>
      </c>
      <c r="L21" s="29">
        <v>1</v>
      </c>
      <c r="M21" s="36">
        <f t="shared" si="2"/>
        <v>4106.7299999999996</v>
      </c>
      <c r="N21" s="37">
        <f t="shared" si="3"/>
        <v>1</v>
      </c>
    </row>
    <row r="22" spans="1:15" x14ac:dyDescent="0.2">
      <c r="A22" s="176">
        <v>15</v>
      </c>
      <c r="B22" s="267" t="str">
        <f>ORCA!B161</f>
        <v>HIDRÁULICO</v>
      </c>
      <c r="C22" s="177">
        <f>ORCA!G173</f>
        <v>7019.52</v>
      </c>
      <c r="D22" s="11">
        <f t="shared" si="0"/>
        <v>3.9478657120951985E-2</v>
      </c>
      <c r="E22" s="268"/>
      <c r="F22" s="178"/>
      <c r="G22" s="23">
        <f>SUM(C22*H22)</f>
        <v>0</v>
      </c>
      <c r="H22" s="178"/>
      <c r="I22" s="23">
        <f>SUM(C22*J22)</f>
        <v>4211.7120000000004</v>
      </c>
      <c r="J22" s="178">
        <v>0.6</v>
      </c>
      <c r="K22" s="23">
        <f t="shared" si="1"/>
        <v>2807.8080000000004</v>
      </c>
      <c r="L22" s="178">
        <v>0.4</v>
      </c>
      <c r="M22" s="36">
        <f t="shared" si="2"/>
        <v>7019.52</v>
      </c>
      <c r="N22" s="37">
        <f t="shared" si="3"/>
        <v>1</v>
      </c>
    </row>
    <row r="23" spans="1:15" x14ac:dyDescent="0.2">
      <c r="A23" s="59">
        <v>16</v>
      </c>
      <c r="B23" s="10" t="str">
        <f>ORCA!B174</f>
        <v>SANITÁRIO</v>
      </c>
      <c r="C23" s="10">
        <f>ORCA!G194</f>
        <v>9297.08</v>
      </c>
      <c r="D23" s="11">
        <f t="shared" si="0"/>
        <v>5.2287938996692124E-2</v>
      </c>
      <c r="E23" s="23">
        <f>SUM($C$21*F23)</f>
        <v>0</v>
      </c>
      <c r="F23" s="29"/>
      <c r="G23" s="23">
        <f>SUM(C23*H23)</f>
        <v>1859.4160000000002</v>
      </c>
      <c r="H23" s="29">
        <v>0.2</v>
      </c>
      <c r="I23" s="23">
        <f>SUM(C23*J23)</f>
        <v>7437.6640000000007</v>
      </c>
      <c r="J23" s="29">
        <v>0.8</v>
      </c>
      <c r="K23" s="23">
        <f t="shared" si="1"/>
        <v>0</v>
      </c>
      <c r="L23" s="29"/>
      <c r="M23" s="36">
        <f t="shared" si="2"/>
        <v>9297.0800000000017</v>
      </c>
      <c r="N23" s="37">
        <f t="shared" si="3"/>
        <v>1</v>
      </c>
    </row>
    <row r="24" spans="1:15" x14ac:dyDescent="0.2">
      <c r="A24" s="59">
        <v>17</v>
      </c>
      <c r="B24" s="10" t="str">
        <f>ORCA!B195</f>
        <v>SISTEMA DE GÁS</v>
      </c>
      <c r="C24" s="10">
        <f>ORCA!G214</f>
        <v>4185</v>
      </c>
      <c r="D24" s="11">
        <f t="shared" si="0"/>
        <v>2.3536962648611881E-2</v>
      </c>
      <c r="E24" s="23">
        <f t="shared" ref="E24:E25" si="4">SUM($C$21*F24)</f>
        <v>0</v>
      </c>
      <c r="F24" s="29"/>
      <c r="G24" s="23">
        <f t="shared" ref="G24:G25" si="5">SUM($C$21*H24)</f>
        <v>0</v>
      </c>
      <c r="H24" s="29"/>
      <c r="I24" s="23">
        <f>SUM(C24*J24)</f>
        <v>4185</v>
      </c>
      <c r="J24" s="29">
        <v>1</v>
      </c>
      <c r="K24" s="23">
        <f t="shared" si="1"/>
        <v>0</v>
      </c>
      <c r="L24" s="29"/>
      <c r="M24" s="36">
        <f t="shared" si="2"/>
        <v>4185</v>
      </c>
      <c r="N24" s="37">
        <f t="shared" si="3"/>
        <v>1</v>
      </c>
    </row>
    <row r="25" spans="1:15" x14ac:dyDescent="0.2">
      <c r="A25" s="59">
        <v>18</v>
      </c>
      <c r="B25" s="10" t="str">
        <f>ORCA!B215</f>
        <v>LIMPEZA FINAL E ENTREGA DA OBRA</v>
      </c>
      <c r="C25" s="10">
        <f>ORCA!G217</f>
        <v>472.25</v>
      </c>
      <c r="D25" s="11">
        <f t="shared" si="0"/>
        <v>2.6559929774927025E-3</v>
      </c>
      <c r="E25" s="23">
        <f t="shared" si="4"/>
        <v>0</v>
      </c>
      <c r="F25" s="29"/>
      <c r="G25" s="23">
        <f t="shared" si="5"/>
        <v>0</v>
      </c>
      <c r="H25" s="29"/>
      <c r="I25" s="23">
        <f>SUM(C25*J25)</f>
        <v>0</v>
      </c>
      <c r="J25" s="29"/>
      <c r="K25" s="23">
        <f t="shared" si="1"/>
        <v>472.25</v>
      </c>
      <c r="L25" s="29">
        <v>1</v>
      </c>
      <c r="M25" s="36">
        <f t="shared" si="2"/>
        <v>472.25</v>
      </c>
      <c r="N25" s="37">
        <f t="shared" si="3"/>
        <v>1</v>
      </c>
    </row>
    <row r="26" spans="1:15" s="5" customFormat="1" ht="14.25" x14ac:dyDescent="0.2">
      <c r="A26" s="60"/>
      <c r="B26" s="74" t="s">
        <v>29</v>
      </c>
      <c r="C26" s="100">
        <f>SUM(C8:C25)</f>
        <v>177805.43999999997</v>
      </c>
      <c r="D26" s="101">
        <f>SUM(D8:D25)</f>
        <v>1.0000000000000004</v>
      </c>
      <c r="E26" s="61"/>
      <c r="F26" s="62"/>
      <c r="G26" s="61"/>
      <c r="H26" s="62"/>
      <c r="I26" s="61"/>
      <c r="J26" s="62"/>
      <c r="K26" s="62"/>
      <c r="L26" s="62"/>
      <c r="M26" s="63"/>
      <c r="N26" s="62"/>
      <c r="O26" s="50"/>
    </row>
    <row r="27" spans="1:15" s="5" customFormat="1" x14ac:dyDescent="0.2">
      <c r="A27" s="6"/>
      <c r="B27" s="3" t="s">
        <v>27</v>
      </c>
      <c r="C27" s="53"/>
      <c r="D27" s="53"/>
      <c r="E27" s="27">
        <f>SUM(E8:E25)</f>
        <v>27302.829000000002</v>
      </c>
      <c r="F27" s="172">
        <f>SUM(E27*100%/C26)</f>
        <v>0.15355452004168155</v>
      </c>
      <c r="G27" s="27">
        <f>SUM(G8:G25)</f>
        <v>46501.203999999998</v>
      </c>
      <c r="H27" s="172">
        <f>SUM(G27*100%/$C$26)</f>
        <v>0.26152857865316159</v>
      </c>
      <c r="I27" s="27">
        <f>SUM(I8:I25)</f>
        <v>62383.932000000001</v>
      </c>
      <c r="J27" s="172">
        <f>SUM(I27*100%/$C$26)</f>
        <v>0.35085502445819439</v>
      </c>
      <c r="K27" s="27">
        <f>SUM(K8:K25)</f>
        <v>41617.474999999999</v>
      </c>
      <c r="L27" s="172">
        <f>SUM(K27*100%/$C$26)</f>
        <v>0.23406187684696264</v>
      </c>
      <c r="M27" s="128">
        <f>SUM(M8:M25)</f>
        <v>177805.44</v>
      </c>
      <c r="N27" s="30">
        <f>SUM(M27*100%/$C$26)</f>
        <v>1.0000000000000002</v>
      </c>
      <c r="O27" s="50"/>
    </row>
    <row r="28" spans="1:15" s="5" customFormat="1" x14ac:dyDescent="0.2">
      <c r="A28" s="6"/>
      <c r="B28" s="3" t="s">
        <v>28</v>
      </c>
      <c r="C28" s="2"/>
      <c r="D28" s="4"/>
      <c r="E28" s="51">
        <f>SUM(E27)</f>
        <v>27302.829000000002</v>
      </c>
      <c r="F28" s="172">
        <f>SUM(F27)</f>
        <v>0.15355452004168155</v>
      </c>
      <c r="G28" s="51">
        <f t="shared" ref="G28:I28" si="6">SUM(E28+G27)</f>
        <v>73804.032999999996</v>
      </c>
      <c r="H28" s="172">
        <f>SUM(F28+H27)</f>
        <v>0.41508309869484317</v>
      </c>
      <c r="I28" s="51">
        <f t="shared" si="6"/>
        <v>136187.965</v>
      </c>
      <c r="J28" s="30">
        <f>SUM(H28+J27)</f>
        <v>0.76593812315303755</v>
      </c>
      <c r="K28" s="51">
        <f t="shared" ref="K28" si="7">SUM(I28+K27)</f>
        <v>177805.44</v>
      </c>
      <c r="L28" s="30">
        <f>SUM(J28+L27)</f>
        <v>1.0000000000000002</v>
      </c>
      <c r="M28" s="129"/>
      <c r="N28" s="52"/>
      <c r="O28" s="50"/>
    </row>
    <row r="29" spans="1:15" x14ac:dyDescent="0.2">
      <c r="D29" s="24"/>
      <c r="E29" s="14"/>
      <c r="F29" s="31"/>
      <c r="G29" s="14"/>
      <c r="H29" s="31"/>
      <c r="I29" s="22"/>
      <c r="J29" s="35"/>
      <c r="K29" s="35"/>
      <c r="L29" s="35"/>
      <c r="M29" s="38"/>
      <c r="N29" s="38"/>
    </row>
    <row r="30" spans="1:15" x14ac:dyDescent="0.2">
      <c r="D30" s="24"/>
      <c r="E30" s="21"/>
      <c r="F30" s="56"/>
      <c r="G30" s="21"/>
      <c r="H30" s="56"/>
      <c r="I30" s="25"/>
      <c r="J30" s="55"/>
      <c r="K30" s="55"/>
      <c r="L30" s="55"/>
      <c r="M30" s="38"/>
      <c r="N30" s="38"/>
    </row>
    <row r="31" spans="1:15" x14ac:dyDescent="0.2">
      <c r="D31" s="26"/>
      <c r="E31" s="14"/>
      <c r="F31" s="31"/>
      <c r="G31" s="14"/>
      <c r="H31" s="31"/>
      <c r="I31" s="14"/>
      <c r="J31" s="31"/>
      <c r="K31" s="31"/>
      <c r="L31" s="31"/>
      <c r="M31" s="38"/>
      <c r="N31" s="38"/>
    </row>
    <row r="32" spans="1:15" x14ac:dyDescent="0.2">
      <c r="D32" s="24"/>
      <c r="E32" s="21"/>
      <c r="F32" s="56"/>
      <c r="G32" s="21"/>
      <c r="H32" s="56"/>
      <c r="I32" s="21"/>
      <c r="J32" s="56"/>
      <c r="K32" s="56"/>
      <c r="L32" s="56"/>
      <c r="M32" s="38"/>
      <c r="N32" s="38"/>
    </row>
    <row r="33" spans="4:14" x14ac:dyDescent="0.2">
      <c r="D33" s="24"/>
      <c r="E33" s="14"/>
      <c r="F33" s="31"/>
      <c r="G33" s="14"/>
      <c r="H33" s="31"/>
      <c r="I33" s="14"/>
      <c r="J33" s="31"/>
      <c r="K33" s="31"/>
      <c r="L33" s="31"/>
      <c r="M33" s="38"/>
      <c r="N33" s="38"/>
    </row>
    <row r="34" spans="4:14" x14ac:dyDescent="0.2">
      <c r="D34" s="24"/>
      <c r="E34" s="21"/>
      <c r="F34" s="56"/>
      <c r="G34" s="21"/>
      <c r="H34" s="56"/>
      <c r="I34" s="21"/>
      <c r="J34" s="56"/>
      <c r="K34" s="56"/>
      <c r="L34" s="56"/>
      <c r="M34" s="38"/>
      <c r="N34" s="38"/>
    </row>
    <row r="35" spans="4:14" x14ac:dyDescent="0.2">
      <c r="D35" s="24"/>
      <c r="E35" s="14"/>
      <c r="F35" s="31"/>
      <c r="G35" s="14"/>
      <c r="H35" s="31"/>
      <c r="I35" s="14"/>
      <c r="J35" s="31"/>
      <c r="K35" s="31"/>
      <c r="L35" s="31"/>
      <c r="M35" s="38"/>
      <c r="N35" s="38"/>
    </row>
    <row r="36" spans="4:14" x14ac:dyDescent="0.2">
      <c r="D36" s="24"/>
      <c r="E36" s="21"/>
      <c r="F36" s="56"/>
      <c r="G36" s="21"/>
      <c r="H36" s="56"/>
      <c r="I36" s="21"/>
      <c r="J36" s="56"/>
      <c r="K36" s="56"/>
      <c r="L36" s="56"/>
      <c r="M36" s="38"/>
      <c r="N36" s="38"/>
    </row>
    <row r="37" spans="4:14" x14ac:dyDescent="0.2">
      <c r="D37" s="24"/>
      <c r="E37" s="15"/>
      <c r="F37" s="35"/>
      <c r="G37" s="15"/>
      <c r="H37" s="35"/>
      <c r="I37" s="15"/>
      <c r="J37" s="35"/>
      <c r="K37" s="35"/>
      <c r="L37" s="35"/>
      <c r="M37" s="38"/>
      <c r="N37" s="38"/>
    </row>
    <row r="38" spans="4:14" x14ac:dyDescent="0.2">
      <c r="D38" s="24"/>
      <c r="E38" s="14"/>
      <c r="F38" s="31"/>
      <c r="G38" s="14"/>
      <c r="H38" s="31"/>
      <c r="I38" s="14"/>
      <c r="J38" s="31"/>
      <c r="K38" s="31"/>
      <c r="L38" s="31"/>
      <c r="M38" s="38"/>
      <c r="N38" s="38"/>
    </row>
    <row r="39" spans="4:14" x14ac:dyDescent="0.2">
      <c r="D39" s="24"/>
      <c r="E39" s="16"/>
      <c r="F39" s="31"/>
      <c r="G39" s="16"/>
      <c r="H39" s="31"/>
      <c r="I39" s="16"/>
      <c r="J39" s="31"/>
      <c r="K39" s="31"/>
      <c r="L39" s="31"/>
      <c r="M39" s="38"/>
      <c r="N39" s="38"/>
    </row>
    <row r="40" spans="4:14" x14ac:dyDescent="0.2">
      <c r="D40" s="24"/>
      <c r="E40" s="14"/>
      <c r="F40" s="31"/>
      <c r="G40" s="14"/>
      <c r="H40" s="31"/>
      <c r="I40" s="14"/>
      <c r="J40" s="31"/>
      <c r="K40" s="31"/>
      <c r="L40" s="31"/>
      <c r="M40" s="38"/>
      <c r="N40" s="38"/>
    </row>
    <row r="41" spans="4:14" x14ac:dyDescent="0.2">
      <c r="D41" s="24"/>
      <c r="E41" s="15"/>
      <c r="F41" s="35"/>
      <c r="G41" s="15"/>
      <c r="H41" s="35"/>
      <c r="I41" s="15"/>
      <c r="J41" s="35"/>
      <c r="K41" s="35"/>
      <c r="L41" s="35"/>
      <c r="M41" s="38"/>
      <c r="N41" s="38"/>
    </row>
    <row r="42" spans="4:14" x14ac:dyDescent="0.2">
      <c r="D42" s="24"/>
      <c r="E42" s="14"/>
      <c r="F42" s="31"/>
      <c r="G42" s="14"/>
      <c r="H42" s="31"/>
      <c r="I42" s="14"/>
      <c r="J42" s="31"/>
      <c r="K42" s="31"/>
      <c r="L42" s="31"/>
      <c r="M42" s="38"/>
      <c r="N42" s="38"/>
    </row>
    <row r="43" spans="4:14" x14ac:dyDescent="0.2">
      <c r="D43" s="24"/>
      <c r="E43" s="24"/>
      <c r="F43" s="32"/>
      <c r="G43" s="24"/>
      <c r="H43" s="32"/>
      <c r="I43" s="17"/>
      <c r="J43" s="32"/>
      <c r="K43" s="32"/>
      <c r="L43" s="32"/>
      <c r="M43" s="38"/>
      <c r="N43" s="38"/>
    </row>
    <row r="44" spans="4:14" x14ac:dyDescent="0.2">
      <c r="D44" s="24"/>
      <c r="E44" s="24"/>
      <c r="F44" s="32"/>
      <c r="G44" s="24"/>
      <c r="H44" s="32"/>
      <c r="I44" s="17"/>
      <c r="J44" s="32"/>
      <c r="K44" s="32"/>
      <c r="L44" s="32"/>
      <c r="M44" s="38"/>
      <c r="N44" s="38"/>
    </row>
    <row r="45" spans="4:14" x14ac:dyDescent="0.2">
      <c r="D45" s="24"/>
      <c r="E45" s="24"/>
      <c r="F45" s="32"/>
      <c r="G45" s="24"/>
      <c r="H45" s="32"/>
      <c r="I45" s="17"/>
      <c r="J45" s="32"/>
      <c r="K45" s="32"/>
      <c r="L45" s="32"/>
      <c r="M45" s="17"/>
      <c r="N45" s="17"/>
    </row>
    <row r="46" spans="4:14" x14ac:dyDescent="0.2">
      <c r="D46" s="24"/>
      <c r="E46" s="24"/>
      <c r="F46" s="32"/>
      <c r="G46" s="24"/>
      <c r="H46" s="32"/>
      <c r="I46" s="17"/>
      <c r="J46" s="32"/>
      <c r="K46" s="32"/>
      <c r="L46" s="32"/>
      <c r="M46" s="17"/>
      <c r="N46" s="17"/>
    </row>
    <row r="47" spans="4:14" x14ac:dyDescent="0.2">
      <c r="D47" s="24"/>
      <c r="E47" s="24"/>
      <c r="F47" s="32"/>
      <c r="G47" s="24"/>
      <c r="H47" s="32"/>
      <c r="I47" s="17"/>
      <c r="J47" s="32"/>
      <c r="K47" s="32"/>
      <c r="L47" s="32"/>
      <c r="M47" s="17"/>
      <c r="N47" s="17"/>
    </row>
    <row r="48" spans="4:14" x14ac:dyDescent="0.2">
      <c r="D48" s="9"/>
      <c r="E48" s="9"/>
      <c r="G48" s="9"/>
    </row>
    <row r="49" spans="4:7" x14ac:dyDescent="0.2">
      <c r="D49" s="9"/>
      <c r="E49" s="9"/>
      <c r="G49" s="9"/>
    </row>
    <row r="50" spans="4:7" x14ac:dyDescent="0.2">
      <c r="D50" s="9"/>
      <c r="E50" s="9"/>
      <c r="G50" s="9"/>
    </row>
    <row r="51" spans="4:7" x14ac:dyDescent="0.2">
      <c r="D51" s="9"/>
      <c r="E51" s="9"/>
      <c r="G51" s="9"/>
    </row>
    <row r="52" spans="4:7" x14ac:dyDescent="0.2">
      <c r="D52" s="9"/>
      <c r="E52" s="9"/>
      <c r="G52" s="9"/>
    </row>
    <row r="53" spans="4:7" x14ac:dyDescent="0.2">
      <c r="D53" s="9"/>
      <c r="E53" s="9"/>
      <c r="G53" s="9"/>
    </row>
    <row r="54" spans="4:7" x14ac:dyDescent="0.2">
      <c r="D54" s="9"/>
      <c r="E54" s="9"/>
      <c r="G54" s="9"/>
    </row>
    <row r="55" spans="4:7" x14ac:dyDescent="0.2">
      <c r="D55" s="9"/>
      <c r="E55" s="9"/>
      <c r="G55" s="9"/>
    </row>
  </sheetData>
  <mergeCells count="8">
    <mergeCell ref="A3:N3"/>
    <mergeCell ref="E6:F6"/>
    <mergeCell ref="G6:H6"/>
    <mergeCell ref="I6:J6"/>
    <mergeCell ref="A6:A7"/>
    <mergeCell ref="B6:B7"/>
    <mergeCell ref="D6:D7"/>
    <mergeCell ref="K6:L6"/>
  </mergeCells>
  <phoneticPr fontId="0" type="noConversion"/>
  <pageMargins left="0.70866141732283472" right="0.47244094488188981" top="2.4409448818897639" bottom="0.31496062992125984" header="0.74803149606299213" footer="0.19685039370078741"/>
  <pageSetup paperSize="9" scale="9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ORCA</vt:lpstr>
      <vt:lpstr>CFF</vt:lpstr>
      <vt:lpstr>ORCA!Area_de_impressao</vt:lpstr>
      <vt:lpstr>ORCA!Titulos_de_impressao</vt:lpstr>
    </vt:vector>
  </TitlesOfParts>
  <Company>Prefeitura Municipal de Timbo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Tainara Fistarol</cp:lastModifiedBy>
  <cp:lastPrinted>2018-07-30T18:16:23Z</cp:lastPrinted>
  <dcterms:created xsi:type="dcterms:W3CDTF">2001-12-06T19:05:24Z</dcterms:created>
  <dcterms:modified xsi:type="dcterms:W3CDTF">2018-07-30T18:16:26Z</dcterms:modified>
</cp:coreProperties>
</file>